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defaultThemeVersion="166925"/>
  <mc:AlternateContent xmlns:mc="http://schemas.openxmlformats.org/markup-compatibility/2006">
    <mc:Choice Requires="x15">
      <x15ac:absPath xmlns:x15ac="http://schemas.microsoft.com/office/spreadsheetml/2010/11/ac" url="C:\Users\UJA\Desktop\"/>
    </mc:Choice>
  </mc:AlternateContent>
  <xr:revisionPtr revIDLastSave="0" documentId="13_ncr:1_{26B2BC4C-30DA-48DB-81F1-45A4CF912F56}" xr6:coauthVersionLast="47" xr6:coauthVersionMax="47" xr10:uidLastSave="{00000000-0000-0000-0000-000000000000}"/>
  <workbookProtection workbookAlgorithmName="SHA-512" workbookHashValue="DD2XZKW2y9H4JRTkS+kYg1pzYv6MVFimAL9GaOKz+IOCjEzfkXvwPlSv2ul9JRLILJl0REY7RVmNPiTR1ct2dA==" workbookSaltValue="P9wUZIZgX9/SQUdYlHQKZA==" workbookSpinCount="100000" lockStructure="1"/>
  <bookViews>
    <workbookView xWindow="-108" yWindow="-108" windowWidth="23256" windowHeight="12456" tabRatio="580" xr2:uid="{F5AC3DF9-D681-4EDB-B9A1-C0139DAB7438}"/>
  </bookViews>
  <sheets>
    <sheet name="Balance de Nutrientes" sheetId="9" r:id="rId1"/>
    <sheet name="Balance de Nutrientes oculto" sheetId="1" state="hidden" r:id="rId2"/>
    <sheet name="FERTILIZANTES" sheetId="7" state="hidden"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56" i="9" l="1"/>
  <c r="N117" i="1" s="1"/>
  <c r="D55" i="9"/>
  <c r="N116" i="1" s="1"/>
  <c r="D54" i="9"/>
  <c r="N115" i="1" s="1"/>
  <c r="N113" i="1"/>
  <c r="N114" i="1"/>
  <c r="N96" i="1"/>
  <c r="N95" i="1"/>
  <c r="N94" i="1"/>
  <c r="N93" i="1"/>
  <c r="N87" i="1"/>
  <c r="N86" i="1"/>
  <c r="N85" i="1"/>
  <c r="N84" i="1"/>
  <c r="N78" i="1"/>
  <c r="N77" i="1"/>
  <c r="N76" i="1"/>
  <c r="N75" i="1"/>
  <c r="N69" i="1"/>
  <c r="N68" i="1"/>
  <c r="N67" i="1"/>
  <c r="N66" i="1"/>
  <c r="N41" i="1"/>
  <c r="G12" i="1"/>
  <c r="N11" i="1" l="1"/>
  <c r="N17" i="1" s="1"/>
  <c r="AB15" i="1" s="1"/>
  <c r="U11" i="1"/>
  <c r="U16" i="1" s="1"/>
  <c r="D66" i="9"/>
  <c r="N131" i="1" s="1"/>
  <c r="D67" i="9"/>
  <c r="N132" i="1" s="1"/>
  <c r="D68" i="9"/>
  <c r="N133" i="1" s="1"/>
  <c r="D62" i="9"/>
  <c r="N125" i="1" s="1"/>
  <c r="D60" i="9"/>
  <c r="N123" i="1" s="1"/>
  <c r="D61" i="9"/>
  <c r="N124" i="1" s="1"/>
  <c r="D48" i="9"/>
  <c r="N107" i="1" s="1"/>
  <c r="D49" i="9"/>
  <c r="N108" i="1" s="1"/>
  <c r="D50" i="9"/>
  <c r="N109" i="1" s="1"/>
  <c r="N106" i="1"/>
  <c r="N105" i="1"/>
  <c r="N92" i="1"/>
  <c r="N91" i="1"/>
  <c r="U32" i="1"/>
  <c r="U69" i="1"/>
  <c r="U70" i="1"/>
  <c r="V71" i="1" s="1"/>
  <c r="N45" i="1"/>
  <c r="N51" i="1" s="1"/>
  <c r="N55" i="1"/>
  <c r="N56" i="1"/>
  <c r="N64" i="1"/>
  <c r="N65" i="1"/>
  <c r="N74" i="1"/>
  <c r="N73" i="1"/>
  <c r="N83" i="1"/>
  <c r="N82" i="1"/>
  <c r="D74" i="9"/>
  <c r="N141" i="1" s="1"/>
  <c r="D80" i="9"/>
  <c r="N149" i="1" s="1"/>
  <c r="D73" i="9"/>
  <c r="N140" i="1" s="1"/>
  <c r="D79" i="9"/>
  <c r="N148" i="1" s="1"/>
  <c r="G14" i="1"/>
  <c r="N27" i="1"/>
  <c r="N28" i="1"/>
  <c r="N29" i="1"/>
  <c r="N42" i="1"/>
  <c r="D72" i="9"/>
  <c r="N139" i="1" s="1"/>
  <c r="D78" i="9"/>
  <c r="N147" i="1" s="1"/>
  <c r="U43" i="1"/>
  <c r="U44" i="1" s="1"/>
  <c r="U48" i="1" s="1"/>
  <c r="U60" i="1"/>
  <c r="V61" i="1" s="1"/>
  <c r="G13" i="1"/>
  <c r="N145" i="1"/>
  <c r="N146" i="1"/>
  <c r="N137" i="1"/>
  <c r="N138" i="1"/>
  <c r="N129" i="1"/>
  <c r="N130" i="1"/>
  <c r="N121" i="1"/>
  <c r="N122" i="1"/>
  <c r="N24" i="1"/>
  <c r="N23" i="1"/>
  <c r="V69" i="1" l="1" a="1"/>
  <c r="V69" i="1" s="1"/>
  <c r="U71" i="1" s="1"/>
  <c r="U61" i="1"/>
  <c r="N60" i="1"/>
  <c r="N61" i="1" s="1"/>
  <c r="N57" i="1"/>
  <c r="N59" i="1"/>
  <c r="N58" i="1"/>
  <c r="N81" i="1"/>
  <c r="N79" i="1"/>
  <c r="N144" i="1"/>
  <c r="N71" i="1"/>
  <c r="N143" i="1"/>
  <c r="N128" i="1"/>
  <c r="N136" i="1"/>
  <c r="N135" i="1"/>
  <c r="N120" i="1"/>
  <c r="N30" i="1"/>
  <c r="N31" i="1" s="1"/>
  <c r="N37" i="1" s="1"/>
  <c r="N127" i="1"/>
  <c r="N152" i="1"/>
  <c r="N151" i="1"/>
  <c r="N80" i="1"/>
  <c r="U33" i="1"/>
  <c r="N15" i="1"/>
  <c r="N16" i="1"/>
  <c r="AB13" i="1" s="1"/>
  <c r="U26" i="1"/>
  <c r="U25" i="1"/>
  <c r="U17" i="1"/>
  <c r="N119" i="1"/>
  <c r="N126" i="1"/>
  <c r="N118" i="1"/>
  <c r="N111" i="1"/>
  <c r="N134" i="1"/>
  <c r="N150" i="1"/>
  <c r="N142" i="1"/>
  <c r="N110" i="1"/>
  <c r="N112" i="1"/>
  <c r="N50" i="1"/>
  <c r="N52" i="1"/>
  <c r="U34" i="1"/>
  <c r="U38" i="1" s="1"/>
  <c r="G15" i="1"/>
  <c r="U18" i="1"/>
  <c r="U24" i="1"/>
  <c r="U27" i="1" s="1"/>
  <c r="AB22" i="1" s="1"/>
  <c r="U76" i="1" l="1"/>
  <c r="AB25" i="1" s="1"/>
  <c r="U72" i="1"/>
  <c r="U75" i="1" s="1"/>
  <c r="U64" i="1"/>
  <c r="N62" i="1"/>
  <c r="N63" i="1"/>
  <c r="U54" i="1"/>
  <c r="AB11" i="1"/>
  <c r="N153" i="1"/>
  <c r="U46" i="1" s="1"/>
  <c r="N99" i="1"/>
  <c r="N154" i="1"/>
  <c r="N98" i="1"/>
  <c r="N97" i="1"/>
  <c r="N155" i="1"/>
  <c r="N70" i="1"/>
  <c r="U29" i="1"/>
  <c r="N72" i="1"/>
  <c r="U39" i="1"/>
  <c r="N88" i="1"/>
  <c r="N89" i="1"/>
  <c r="U28" i="1"/>
  <c r="AB24" i="1" s="1"/>
  <c r="N90" i="1"/>
  <c r="U77" i="1"/>
  <c r="AB27" i="1" s="1"/>
  <c r="U40" i="1"/>
  <c r="G18" i="1"/>
  <c r="D109" i="9" s="1"/>
  <c r="G17" i="1"/>
  <c r="D108" i="9" s="1"/>
  <c r="G16" i="1"/>
  <c r="D107" i="9" s="1"/>
  <c r="AB29" i="1" l="1"/>
  <c r="N101" i="1"/>
  <c r="AB14" i="1" s="1"/>
  <c r="AB18" i="1" s="1"/>
  <c r="N102" i="1"/>
  <c r="AB16" i="1" s="1"/>
  <c r="AB19" i="1" s="1"/>
  <c r="AB39" i="1" s="1"/>
  <c r="AB26" i="1"/>
  <c r="AB30" i="1" s="1"/>
  <c r="N100" i="1"/>
  <c r="AB12" i="1" s="1"/>
  <c r="AB17" i="1" s="1"/>
  <c r="AB37" i="1" s="1"/>
  <c r="U56" i="1"/>
  <c r="U45" i="1" l="1"/>
  <c r="U47" i="1" s="1"/>
  <c r="U49" i="1" s="1"/>
  <c r="U50" i="1" s="1"/>
  <c r="U55" i="1"/>
  <c r="U57" i="1" s="1"/>
  <c r="AB35" i="1"/>
  <c r="D104" i="9" s="1"/>
  <c r="C115" i="9" s="1"/>
  <c r="AB34" i="1"/>
  <c r="D103" i="9" s="1"/>
  <c r="C114" i="9" s="1"/>
  <c r="AB38" i="1"/>
  <c r="U65" i="1" l="1"/>
  <c r="U66" i="1" s="1"/>
  <c r="AB23" i="1" l="1"/>
  <c r="AB28" i="1" s="1"/>
  <c r="AB33" i="1" s="1"/>
  <c r="D102" i="9" s="1"/>
  <c r="C11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author>
    <author>UJA</author>
  </authors>
  <commentList>
    <comment ref="S11" authorId="0" shapeId="0" xr:uid="{5D83562B-6D4C-48FF-8CC5-661C18AB41D4}">
      <text>
        <r>
          <rPr>
            <sz val="9"/>
            <color indexed="81"/>
            <rFont val="Tahoma"/>
            <family val="2"/>
          </rPr>
          <t>Only fruits</t>
        </r>
      </text>
    </comment>
    <comment ref="S12" authorId="0" shapeId="0" xr:uid="{9B99106B-426A-4C8A-801D-2BCD64EC852C}">
      <text>
        <r>
          <rPr>
            <sz val="9"/>
            <color indexed="81"/>
            <rFont val="Tahoma"/>
            <family val="2"/>
          </rPr>
          <t xml:space="preserve">According to current studies </t>
        </r>
        <r>
          <rPr>
            <b/>
            <sz val="9"/>
            <color indexed="81"/>
            <rFont val="Tahoma"/>
            <family val="2"/>
          </rPr>
          <t>OR</t>
        </r>
        <r>
          <rPr>
            <sz val="9"/>
            <color indexed="81"/>
            <rFont val="Tahoma"/>
            <family val="2"/>
          </rPr>
          <t xml:space="preserve"> from your own experimental analysis.</t>
        </r>
      </text>
    </comment>
    <comment ref="S19" authorId="0" shapeId="0" xr:uid="{E55FC003-7C19-4BF2-A037-27AF3D43A196}">
      <text>
        <r>
          <rPr>
            <sz val="9"/>
            <color indexed="81"/>
            <rFont val="Tahoma"/>
            <family val="2"/>
          </rPr>
          <t>Twigs (small branches (usually &lt;2cm)) and leaves unintentionally harvested with olive fruits. Depending on the harvesting system, it could represent from 7 to more than 15% of the wet weight of total harvest (excluding soil lumps and stones). In case you have soil lumps and stones too, discriminate them from the calculation. Example: we deliver to the olive mill  15000 kg of "harvest" (including soil lumps and stones 500 kg, leaves and twigs 800 kg, and the fresh olive fruits 13700 kg). We take the sum of leaves and twigs, and olive fruits as the total harvest (14500 kg), so that the leaves and twigs represent the 5,5 %.</t>
        </r>
      </text>
    </comment>
    <comment ref="L20" authorId="0" shapeId="0" xr:uid="{2EB38D28-E65D-4B4A-B86E-E85DE942CFC0}">
      <text>
        <r>
          <rPr>
            <sz val="9"/>
            <color indexed="81"/>
            <rFont val="Tahoma"/>
            <family val="2"/>
          </rPr>
          <t>According to Cooke, R.U. and Doornkamp, J.C. (1990). Geomorphology in environmental management, Claredon Press, Oxford, Unite Kingdom, pp. 410.</t>
        </r>
      </text>
    </comment>
    <comment ref="S20" authorId="0" shapeId="0" xr:uid="{EF3A0883-D76B-48B2-993D-0F9372EC33BE}">
      <text>
        <r>
          <rPr>
            <sz val="9"/>
            <color indexed="81"/>
            <rFont val="Tahoma"/>
            <family val="2"/>
          </rPr>
          <t xml:space="preserve">Data from your own experimental analysis or from current studies.
</t>
        </r>
      </text>
    </comment>
    <comment ref="N32" authorId="1" shapeId="0" xr:uid="{06BB7D60-2D3F-472E-A7D1-63898134A98F}">
      <text>
        <r>
          <rPr>
            <b/>
            <sz val="9"/>
            <color indexed="81"/>
            <rFont val="Tahoma"/>
            <family val="2"/>
          </rPr>
          <t>UJA:</t>
        </r>
        <r>
          <rPr>
            <sz val="9"/>
            <color indexed="81"/>
            <rFont val="Tahoma"/>
            <family val="2"/>
          </rPr>
          <t xml:space="preserve">
Rodrigues, M. A.; Ferreira, I. Q.; Freitas, S. L.; Pires, J. M.; Arrobas, M. P. (2015). Self-reseeding annual legumes for cover cropping in rainfed managed olive orchards. Spanish Journal of Agricultural Research, Volume 13, Issue 2, e0302, 13 pages. http://dx.doi.org/10.5424/sjar/2015132-6252.</t>
        </r>
      </text>
    </comment>
    <comment ref="N33" authorId="1" shapeId="0" xr:uid="{C12C3758-03CA-42D7-A6B5-D261BE1A3160}">
      <text>
        <r>
          <rPr>
            <b/>
            <sz val="9"/>
            <color indexed="81"/>
            <rFont val="Tahoma"/>
            <family val="2"/>
          </rPr>
          <t>UJA:</t>
        </r>
        <r>
          <rPr>
            <sz val="9"/>
            <color indexed="81"/>
            <rFont val="Tahoma"/>
            <family val="2"/>
          </rPr>
          <t xml:space="preserve">
Torrus Castillo et al., 2022.  https://doi.org/10.3389/fenvs.2022.868410</t>
        </r>
      </text>
    </comment>
    <comment ref="N34" authorId="0" shapeId="0" xr:uid="{45C23F13-5077-4474-A2E4-69C85960AFCE}">
      <text>
        <r>
          <rPr>
            <sz val="9"/>
            <color indexed="81"/>
            <rFont val="Tahoma"/>
            <family val="2"/>
          </rPr>
          <t xml:space="preserve">Wichern, F., Eberhardta, E., Mayerb, J., Joergensena, R.G.,  Müllerc, T. (2008), Nitrogen rhizodeposition in agricultural crops: Methods, estimates and future prospects. In Soil  Biology &amp; Biochemistry, 40, pp. 30-48.
</t>
        </r>
      </text>
    </comment>
    <comment ref="N35" authorId="0" shapeId="0" xr:uid="{3515C28A-47ED-41A7-A259-D3D6B63A7AF1}">
      <text>
        <r>
          <rPr>
            <sz val="9"/>
            <color indexed="81"/>
            <rFont val="Tahoma"/>
            <family val="2"/>
          </rPr>
          <t xml:space="preserve">Gathumbi, S.M., Cadisch, G., Giller, K.E. (2002) , N natural abundance as a tool for assessing N2-fixation of herbaceous, shrub and tree legumes in improved fallows. In </t>
        </r>
        <r>
          <rPr>
            <i/>
            <sz val="9"/>
            <color indexed="81"/>
            <rFont val="Tahoma"/>
            <family val="2"/>
          </rPr>
          <t>Soil  Biology &amp; Biochemistry</t>
        </r>
        <r>
          <rPr>
            <sz val="9"/>
            <color indexed="81"/>
            <rFont val="Tahoma"/>
            <family val="2"/>
          </rPr>
          <t xml:space="preserve">, 34, pp. 1059-1071.
</t>
        </r>
      </text>
    </comment>
    <comment ref="S35" authorId="0" shapeId="0" xr:uid="{20522E39-5D7B-44B7-B0CB-96D4BF369978}">
      <text>
        <r>
          <rPr>
            <sz val="9"/>
            <color indexed="81"/>
            <rFont val="Tahoma"/>
            <family val="2"/>
          </rPr>
          <t xml:space="preserve">According to current studies </t>
        </r>
        <r>
          <rPr>
            <b/>
            <sz val="9"/>
            <color indexed="81"/>
            <rFont val="Tahoma"/>
            <family val="2"/>
          </rPr>
          <t xml:space="preserve">OR </t>
        </r>
        <r>
          <rPr>
            <sz val="9"/>
            <color indexed="81"/>
            <rFont val="Tahoma"/>
            <family val="2"/>
          </rPr>
          <t>from your own experimental analysis.</t>
        </r>
      </text>
    </comment>
    <comment ref="N36" authorId="0" shapeId="0" xr:uid="{946BB597-3C60-40BD-AE11-B3265F9ACCD7}">
      <text>
        <r>
          <rPr>
            <sz val="9"/>
            <color indexed="81"/>
            <rFont val="Tahoma"/>
            <family val="2"/>
          </rPr>
          <t xml:space="preserve">Wichern, F., Eberhardta, E., Mayerb, J., Joergensena, R.G.,  Müllerc, T. (2008), Nitrogen rhizodeposition in agricultural crops: Methods, estimates and future prospects. In </t>
        </r>
        <r>
          <rPr>
            <i/>
            <sz val="9"/>
            <color indexed="81"/>
            <rFont val="Tahoma"/>
            <family val="2"/>
          </rPr>
          <t>Soil  Biology &amp; Biochemistry</t>
        </r>
        <r>
          <rPr>
            <sz val="9"/>
            <color indexed="81"/>
            <rFont val="Tahoma"/>
            <family val="2"/>
          </rPr>
          <t xml:space="preserve">, 40, pp. 30-48.
</t>
        </r>
      </text>
    </comment>
    <comment ref="N40" authorId="0" shapeId="0" xr:uid="{00301C70-D511-4C73-A5EF-E61EB0FFA132}">
      <text>
        <r>
          <rPr>
            <sz val="9"/>
            <color indexed="81"/>
            <rFont val="Tahoma"/>
            <family val="2"/>
          </rPr>
          <t xml:space="preserve">Boring, L.R., Swank, W.T.,  Waide, J.B., Henderson, G.S. (1988), Sources, fates and impacts of nitrogen inputs on terrestrial ecosystems: review and synthesis, </t>
        </r>
        <r>
          <rPr>
            <i/>
            <sz val="9"/>
            <color indexed="81"/>
            <rFont val="Tahoma"/>
            <family val="2"/>
          </rPr>
          <t>Biogeochemistry</t>
        </r>
        <r>
          <rPr>
            <sz val="9"/>
            <color indexed="81"/>
            <rFont val="Tahoma"/>
            <family val="2"/>
          </rPr>
          <t>, 6, pp. 119-159.</t>
        </r>
      </text>
    </comment>
    <comment ref="N41" authorId="0" shapeId="0" xr:uid="{06342AA0-EE6F-4D4F-984E-A2407CD6CB8B}">
      <text>
        <r>
          <rPr>
            <sz val="9"/>
            <color indexed="81"/>
            <rFont val="Tahoma"/>
            <family val="2"/>
          </rPr>
          <t>Indicate:</t>
        </r>
        <r>
          <rPr>
            <b/>
            <sz val="9"/>
            <color indexed="81"/>
            <rFont val="Tahoma"/>
            <family val="2"/>
          </rPr>
          <t xml:space="preserve">
</t>
        </r>
        <r>
          <rPr>
            <sz val="9"/>
            <color indexed="81"/>
            <rFont val="Tahoma"/>
            <family val="2"/>
          </rPr>
          <t>0, 1, 2, 3, 4, 5,...</t>
        </r>
      </text>
    </comment>
    <comment ref="U44" authorId="0" shapeId="0" xr:uid="{A7EC8642-89F3-40AA-9E5D-CBA2C2ACD71B}">
      <text>
        <r>
          <rPr>
            <sz val="9"/>
            <color indexed="81"/>
            <rFont val="Tahoma"/>
            <family val="2"/>
          </rPr>
          <t xml:space="preserve">Vinther, F.P, Hansen, S. (2004), SimDen - a simple empirical model for quantification of N2O emissions and denitrification. </t>
        </r>
        <r>
          <rPr>
            <i/>
            <sz val="9"/>
            <color indexed="81"/>
            <rFont val="Tahoma"/>
            <family val="2"/>
          </rPr>
          <t xml:space="preserve">DIAS Report </t>
        </r>
        <r>
          <rPr>
            <sz val="9"/>
            <color indexed="81"/>
            <rFont val="Tahoma"/>
            <family val="2"/>
          </rPr>
          <t>104, 1-47 (in Danish with English summary).</t>
        </r>
      </text>
    </comment>
    <comment ref="U47" authorId="0" shapeId="0" xr:uid="{9300AB54-C43A-4004-B6B3-80C87C6711DF}">
      <text>
        <r>
          <rPr>
            <sz val="9"/>
            <color indexed="81"/>
            <rFont val="Tahoma"/>
            <family val="2"/>
          </rPr>
          <t xml:space="preserve">Factor applied to organic fertilization N input (2,5%) from Kasimir-Klemedtsson, A.,  and Klemedtsson, L. (2002), A critical analysis of nitrous oxide emissions from animal manure. En Petersen S.O. y Olesen J.E. (eds.) </t>
        </r>
        <r>
          <rPr>
            <i/>
            <sz val="9"/>
            <color indexed="81"/>
            <rFont val="Tahoma"/>
            <family val="2"/>
          </rPr>
          <t xml:space="preserve">Greenhouse gas inventories for agriculture in the Nordic countries. DIAS report </t>
        </r>
        <r>
          <rPr>
            <sz val="9"/>
            <color indexed="81"/>
            <rFont val="Tahoma"/>
            <family val="2"/>
          </rPr>
          <t>81 Danish Institute of Agricultural Sciences, Foulum, Denmark, pp. 107-121.</t>
        </r>
      </text>
    </comment>
    <comment ref="U48" authorId="0" shapeId="0" xr:uid="{B24D3630-D69F-443F-A70E-E0072B3E296D}">
      <text>
        <r>
          <rPr>
            <sz val="9"/>
            <color indexed="81"/>
            <rFont val="Tahoma"/>
            <family val="2"/>
          </rPr>
          <t>Vinther, F.P, Hansen, S. (2004), SimDen - a simple empirical model for quantification of N2O emissions and denitrification. DIAS Report 104, 1-47 (in Danish with English summary).</t>
        </r>
      </text>
    </comment>
    <comment ref="U49" authorId="0" shapeId="0" xr:uid="{ABB5ADE2-E5BB-42EC-BAED-84372BA9C047}">
      <text>
        <r>
          <rPr>
            <sz val="9"/>
            <color indexed="81"/>
            <rFont val="Tahoma"/>
            <family val="2"/>
          </rPr>
          <t>Vinther, F.P, Hansen, S. (2004), SimDen - a simple empirical model for quantification of N2O emissions and denitrification. DIAS Report 104, 1-47 (in Danish with English summary).</t>
        </r>
      </text>
    </comment>
    <comment ref="R52" authorId="0" shapeId="0" xr:uid="{8A5F9023-A8F2-4A47-A70E-4E72ED8BF4E9}">
      <text>
        <r>
          <rPr>
            <b/>
            <sz val="9"/>
            <color indexed="81"/>
            <rFont val="Tahoma"/>
            <family val="2"/>
          </rPr>
          <t>Process controlled by ammonium amount and soil pH (also by insolation level and carbonate amount).</t>
        </r>
      </text>
    </comment>
    <comment ref="U53" authorId="0" shapeId="0" xr:uid="{A3C3DF1B-F72C-4B1D-90F8-7D14C306E0C3}">
      <text>
        <r>
          <rPr>
            <sz val="9"/>
            <color indexed="81"/>
            <rFont val="Tahoma"/>
            <family val="2"/>
          </rPr>
          <t xml:space="preserve">Adapted from Holtan-Hartwig, L., Bockman, O.C. (1994), Ammonia exchange between crops and air. </t>
        </r>
        <r>
          <rPr>
            <i/>
            <sz val="9"/>
            <color indexed="81"/>
            <rFont val="Tahoma"/>
            <family val="2"/>
          </rPr>
          <t>Norw. J. Agric. Sci</t>
        </r>
        <r>
          <rPr>
            <sz val="9"/>
            <color indexed="81"/>
            <rFont val="Tahoma"/>
            <family val="2"/>
          </rPr>
          <t>, Suppl. 14.
ONLY available for temperate climate regions.</t>
        </r>
      </text>
    </comment>
    <comment ref="U57" authorId="0" shapeId="0" xr:uid="{CD1080E7-8CE9-4B6F-B5E7-E8243183BDAB}">
      <text>
        <r>
          <rPr>
            <sz val="9"/>
            <color indexed="81"/>
            <rFont val="Tahoma"/>
            <family val="2"/>
          </rPr>
          <t xml:space="preserve">Factors applied to NH3 losses by ammonization from the N inputs depending on its origin from IPCC and European Environment Agency (2009),  </t>
        </r>
        <r>
          <rPr>
            <i/>
            <sz val="9"/>
            <color indexed="81"/>
            <rFont val="Tahoma"/>
            <family val="2"/>
          </rPr>
          <t>EEA air pollutant emissioninventory guide-book</t>
        </r>
        <r>
          <rPr>
            <sz val="9"/>
            <color indexed="81"/>
            <rFont val="Tahoma"/>
            <family val="2"/>
          </rPr>
          <t>. Technical report No 6/2009.</t>
        </r>
      </text>
    </comment>
    <comment ref="R68" authorId="1" shapeId="0" xr:uid="{6A54FA08-8864-4436-8D3F-AB31E013C641}">
      <text>
        <r>
          <rPr>
            <b/>
            <sz val="9"/>
            <color indexed="81"/>
            <rFont val="Tahoma"/>
            <family val="2"/>
          </rPr>
          <t>UJA:</t>
        </r>
        <r>
          <rPr>
            <sz val="9"/>
            <color indexed="81"/>
            <rFont val="Tahoma"/>
            <family val="2"/>
          </rPr>
          <t xml:space="preserve">
¿En qué me baso?
En olivar mediterráneo, las pérdidas medias publicadas suelen estar entre ~29–47 t ha⁻¹ año⁻¹, con muchas zonas superando 50 t ha⁻¹ año⁻¹ cuando el suelo está desnudo y en pendientes. 
ias.csic.es
+1
La presencia de cárcavas puede incrementar la pérdida ≈10–100× respecto a la erosión laminar/surcos (USLE/RUSLE no la capta bien), por eso usamos multiplicadores por severidad. 
Crea UJAen
La pendiente eleva fuertemente la erosión (factor LS de RUSLE). 
web.jrc.ec.europa.eu
+1
Nota: No existe una tabla oficial única con “pendiente × tipo de cárcava → t ha⁻¹ año⁻¹”. Por eso defino valores guía y multiplicadores coherentes con la bibliografía anterior. Puedes ajustarlos cuando calibres con datos locales.
Justificación: valores dentro de los rangos observados en olivar mediterráneo; el salto con pendiente sigue el efecto del factor LS y el contexto andaluz (muchas zonas &gt;50 t ha⁻¹ año⁻¹). 
www.revistaa
Justificación: dentro del rango 10–100× citado para procesos de cárcavas vs. laminares; usamos valores prudentes y escalonados para que tu calculadora no se dispare salvo en “acusadas”. 
Crea UJAen</t>
        </r>
      </text>
    </comment>
    <comment ref="N105" authorId="0" shapeId="0" xr:uid="{8EA39578-7F5C-4DE6-8256-CF8DEA903E6C}">
      <text>
        <r>
          <rPr>
            <sz val="9"/>
            <color indexed="81"/>
            <rFont val="Tahoma"/>
            <family val="2"/>
          </rPr>
          <t>Indicate if urea, nitrate, NPK, etc.</t>
        </r>
      </text>
    </comment>
    <comment ref="N113" authorId="0" shapeId="0" xr:uid="{AE729A71-17C1-4D15-84BF-162B6145753C}">
      <text>
        <r>
          <rPr>
            <sz val="9"/>
            <color indexed="81"/>
            <rFont val="Tahoma"/>
            <family val="2"/>
          </rPr>
          <t>Indicate if urea, nitrate, NPK, etc.</t>
        </r>
      </text>
    </comment>
    <comment ref="N121" authorId="0" shapeId="0" xr:uid="{3AA659F2-F645-4A89-B58C-9690389F9D44}">
      <text>
        <r>
          <rPr>
            <sz val="9"/>
            <color indexed="81"/>
            <rFont val="Tahoma"/>
            <family val="2"/>
          </rPr>
          <t>Indicate if urea, nitrate, NPK, etc.</t>
        </r>
      </text>
    </comment>
    <comment ref="N129" authorId="0" shapeId="0" xr:uid="{D52BE63E-77C9-499D-B94F-6C66C0FD167A}">
      <text>
        <r>
          <rPr>
            <sz val="9"/>
            <color indexed="81"/>
            <rFont val="Tahoma"/>
            <family val="2"/>
          </rPr>
          <t>Indicate if urea, nitrate, NPK, etc.</t>
        </r>
      </text>
    </comment>
    <comment ref="N137" authorId="0" shapeId="0" xr:uid="{AC12CB38-3E00-468F-A93C-D73F5F0B8705}">
      <text>
        <r>
          <rPr>
            <sz val="9"/>
            <color indexed="81"/>
            <rFont val="Tahoma"/>
            <family val="2"/>
          </rPr>
          <t>Indicate if urea, nitrate, NPK, etc.</t>
        </r>
      </text>
    </comment>
    <comment ref="N145" authorId="0" shapeId="0" xr:uid="{4DC2B62F-1DB9-49D1-868D-00C5D6E9661A}">
      <text>
        <r>
          <rPr>
            <sz val="9"/>
            <color indexed="81"/>
            <rFont val="Tahoma"/>
            <family val="2"/>
          </rPr>
          <t>Indicate if urea, nitrate, NPK,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<sst xmlns="http://schemas.openxmlformats.org/spreadsheetml/2006/main" count="752" uniqueCount="338">
  <si>
    <r>
      <t>L m</t>
    </r>
    <r>
      <rPr>
        <vertAlign val="superscript"/>
        <sz val="11"/>
        <color theme="1"/>
        <rFont val="Calibri"/>
        <family val="2"/>
        <scheme val="minor"/>
      </rPr>
      <t>-2</t>
    </r>
  </si>
  <si>
    <t>%</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</si>
  <si>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</si>
  <si>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r>
      <t xml:space="preserve">kg </t>
    </r>
    <r>
      <rPr>
        <i/>
        <sz val="11"/>
        <color theme="1"/>
        <rFont val="Calibri"/>
        <family val="2"/>
        <scheme val="minor"/>
      </rPr>
      <t>N</t>
    </r>
    <r>
      <rPr>
        <sz val="11"/>
        <color theme="1"/>
        <rFont val="Calibri"/>
        <family val="2"/>
        <scheme val="minor"/>
      </rPr>
      <t>kg</t>
    </r>
    <r>
      <rPr>
        <vertAlign val="superscript"/>
        <sz val="11"/>
        <color theme="1"/>
        <rFont val="Calibri"/>
        <family val="2"/>
        <scheme val="minor"/>
      </rPr>
      <t>-1</t>
    </r>
    <r>
      <rPr>
        <sz val="11"/>
        <color theme="1"/>
        <rFont val="Calibri"/>
        <family val="2"/>
        <scheme val="minor"/>
      </rPr>
      <t xml:space="preserve"> DM</t>
    </r>
  </si>
  <si>
    <r>
      <t>mg L</t>
    </r>
    <r>
      <rPr>
        <vertAlign val="superscript"/>
        <sz val="11"/>
        <color theme="1"/>
        <rFont val="Calibri"/>
        <family val="2"/>
        <scheme val="minor"/>
      </rPr>
      <t>-1</t>
    </r>
  </si>
  <si>
    <r>
      <t xml:space="preserve">mg </t>
    </r>
    <r>
      <rPr>
        <i/>
        <sz val="11"/>
        <color theme="1"/>
        <rFont val="Calibri"/>
        <family val="2"/>
        <scheme val="minor"/>
      </rPr>
      <t xml:space="preserve">N </t>
    </r>
    <r>
      <rPr>
        <sz val="11"/>
        <color theme="1"/>
        <rFont val="Calibri"/>
        <family val="2"/>
        <scheme val="minor"/>
      </rPr>
      <t>L</t>
    </r>
    <r>
      <rPr>
        <vertAlign val="superscript"/>
        <sz val="11"/>
        <color theme="1"/>
        <rFont val="Calibri"/>
        <family val="2"/>
        <scheme val="minor"/>
      </rPr>
      <t>-1</t>
    </r>
  </si>
  <si>
    <r>
      <t>kg ha</t>
    </r>
    <r>
      <rPr>
        <vertAlign val="superscript"/>
        <sz val="11"/>
        <color theme="1"/>
        <rFont val="Calibri"/>
        <family val="2"/>
        <scheme val="minor"/>
      </rPr>
      <t>-1</t>
    </r>
  </si>
  <si>
    <t>Subtotal</t>
  </si>
  <si>
    <t>BALANCE</t>
  </si>
  <si>
    <r>
      <t>g/cm</t>
    </r>
    <r>
      <rPr>
        <vertAlign val="superscript"/>
        <sz val="11"/>
        <color theme="1"/>
        <rFont val="Calibri"/>
        <family val="2"/>
        <scheme val="minor"/>
      </rPr>
      <t>3</t>
    </r>
  </si>
  <si>
    <t>m</t>
  </si>
  <si>
    <t>ENTRADAS</t>
  </si>
  <si>
    <t>Lluvia</t>
  </si>
  <si>
    <t>Unidades</t>
  </si>
  <si>
    <t>Datos</t>
  </si>
  <si>
    <t>Opción 1</t>
  </si>
  <si>
    <t>Cantidad de Lluvia anual</t>
  </si>
  <si>
    <t>Concentración de N en el agua de lluvia (valor fijo)</t>
  </si>
  <si>
    <t>Fijación Simbióntica de N</t>
  </si>
  <si>
    <t>Biomasa de la cubierta vegetal (materia seca) por m²</t>
  </si>
  <si>
    <t>Resultado</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</si>
  <si>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</si>
  <si>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Fijación no simbiótica de N</t>
  </si>
  <si>
    <t>Riego</t>
  </si>
  <si>
    <t>Fertilización Orgánica</t>
  </si>
  <si>
    <t>Fertilización Inorgánica</t>
  </si>
  <si>
    <t>Laboreo  (pases de trator)</t>
  </si>
  <si>
    <r>
      <t xml:space="preserve">kg </t>
    </r>
    <r>
      <rPr>
        <i/>
        <sz val="11"/>
        <color theme="1"/>
        <rFont val="Calibri"/>
        <family val="2"/>
        <scheme val="minor"/>
      </rPr>
      <t>N</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</si>
  <si>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veces año</t>
    </r>
    <r>
      <rPr>
        <vertAlign val="superscript"/>
        <sz val="11"/>
        <color theme="1"/>
        <rFont val="Calibri"/>
        <family val="2"/>
        <scheme val="minor"/>
      </rPr>
      <t>-1</t>
    </r>
  </si>
  <si>
    <t>Riego anual</t>
  </si>
  <si>
    <r>
      <t>m</t>
    </r>
    <r>
      <rPr>
        <vertAlign val="superscript"/>
        <sz val="11"/>
        <color theme="1"/>
        <rFont val="Calibri"/>
        <family val="2"/>
        <scheme val="minor"/>
      </rPr>
      <t>-3</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</si>
  <si>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Producto 1</t>
  </si>
  <si>
    <t>Dosis de aplicación (peso fresco listo para aplicar)</t>
  </si>
  <si>
    <t>Producto 2</t>
  </si>
  <si>
    <t>Producto 3</t>
  </si>
  <si>
    <t>Producto 4</t>
  </si>
  <si>
    <t>Producto 5</t>
  </si>
  <si>
    <t>Producto 6</t>
  </si>
  <si>
    <t>Tipo</t>
  </si>
  <si>
    <t>Alperujo compostado</t>
  </si>
  <si>
    <t>Biochar</t>
  </si>
  <si>
    <t>Biofuerza 212</t>
  </si>
  <si>
    <t>Labinor abono orgánico</t>
  </si>
  <si>
    <t>Restos de hoja</t>
  </si>
  <si>
    <t>Dosis de aplicación</t>
  </si>
  <si>
    <t>Concentracion de N</t>
  </si>
  <si>
    <t>Resultados</t>
  </si>
  <si>
    <t>SALIDAS</t>
  </si>
  <si>
    <t>Cosecha</t>
  </si>
  <si>
    <t>Poda</t>
  </si>
  <si>
    <t>Desnitrificación</t>
  </si>
  <si>
    <t>Lixiviación</t>
  </si>
  <si>
    <t>Erosión</t>
  </si>
  <si>
    <r>
      <rPr>
        <b/>
        <sz val="14"/>
        <color theme="5" tint="-0.499984740745262"/>
        <rFont val="Calibri"/>
        <family val="2"/>
        <scheme val="minor"/>
      </rPr>
      <t>Volatilización de NH</t>
    </r>
    <r>
      <rPr>
        <b/>
        <vertAlign val="subscript"/>
        <sz val="14"/>
        <color theme="5" tint="-0.499984740745262"/>
        <rFont val="Calibri"/>
        <family val="2"/>
        <scheme val="minor"/>
      </rPr>
      <t>4</t>
    </r>
  </si>
  <si>
    <r>
      <t>kg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</si>
  <si>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</si>
  <si>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r>
      <t xml:space="preserve">kg </t>
    </r>
    <r>
      <rPr>
        <i/>
        <sz val="11"/>
        <color theme="1"/>
        <rFont val="Calibri"/>
        <family val="2"/>
        <scheme val="minor"/>
      </rPr>
      <t>N</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</si>
  <si>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t>Cosecha de fruto de olivo (peso fresco)</t>
  </si>
  <si>
    <t>Cosecha de ramas y hojas (peso fresco proporcional a la cosecha total [frutos + ramas + hojas])</t>
  </si>
  <si>
    <t>Meteorización del suelo</t>
  </si>
  <si>
    <r>
      <t xml:space="preserve">kg </t>
    </r>
    <r>
      <rPr>
        <i/>
        <sz val="11"/>
        <color theme="1"/>
        <rFont val="Calibri"/>
        <family val="2"/>
        <scheme val="minor"/>
      </rPr>
      <t>P</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</si>
  <si>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r>
      <t xml:space="preserve">kg </t>
    </r>
    <r>
      <rPr>
        <i/>
        <sz val="11"/>
        <color theme="1"/>
        <rFont val="Calibri"/>
        <family val="2"/>
        <scheme val="minor"/>
      </rPr>
      <t>K</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</si>
  <si>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t>Calculadora de balance de Nutrientes en el olivar</t>
  </si>
  <si>
    <t>Concentración de P en el agua de lluvia (valor fijo)</t>
  </si>
  <si>
    <t>Concentración de K en el agua de lluvia (valor fijo)</t>
  </si>
  <si>
    <r>
      <t>mg L</t>
    </r>
    <r>
      <rPr>
        <vertAlign val="superscript"/>
        <sz val="11"/>
        <color theme="1"/>
        <rFont val="Calibri"/>
        <family val="2"/>
        <scheme val="minor"/>
      </rPr>
      <t>-2</t>
    </r>
    <r>
      <rPr>
        <sz val="11"/>
        <color theme="1"/>
        <rFont val="Calibri"/>
        <family val="2"/>
        <scheme val="minor"/>
      </rPr>
      <t/>
    </r>
  </si>
  <si>
    <r>
      <t>mg L</t>
    </r>
    <r>
      <rPr>
        <vertAlign val="superscript"/>
        <sz val="11"/>
        <color theme="1"/>
        <rFont val="Calibri"/>
        <family val="2"/>
        <scheme val="minor"/>
      </rPr>
      <t>-3</t>
    </r>
    <r>
      <rPr>
        <sz val="11"/>
        <color theme="1"/>
        <rFont val="Calibri"/>
        <family val="2"/>
        <scheme val="minor"/>
      </rPr>
      <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</si>
  <si>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-2</t>
    </r>
  </si>
  <si>
    <r>
      <t xml:space="preserve">kg </t>
    </r>
    <r>
      <rPr>
        <i/>
        <sz val="11"/>
        <color theme="1"/>
        <rFont val="Calibri"/>
        <family val="2"/>
        <scheme val="minor"/>
      </rPr>
      <t xml:space="preserve">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-3</t>
    </r>
  </si>
  <si>
    <t>P total del suelo (valor fijo)</t>
  </si>
  <si>
    <t>K total del suelo (valor fijo)</t>
  </si>
  <si>
    <t>Cantidad de suelo nuevo generado cada año (valor fijo)</t>
  </si>
  <si>
    <t>Fijación máxima de N por microorganismos libres (valor fijo)</t>
  </si>
  <si>
    <t>Contenido de N en las raíces de las leguminosas en proporción al total de la planta (valor fijo)</t>
  </si>
  <si>
    <t>Contenido de N de las leguminosas debido a la fijación simbiótica en proporción al contenido total de N de las leguminosas (valor fijo)</t>
  </si>
  <si>
    <t>N rizodepositado por las raíces de las plantas respecto al total de la fijación biológica de nitrógeno (valor fijo)</t>
  </si>
  <si>
    <t>Concentración de N en el agua de riego (valor fijo)</t>
  </si>
  <si>
    <t>Concentración de P en el agua de riego (valor fijo)</t>
  </si>
  <si>
    <t>Concentración de K en el agua de riego (valor fijo)</t>
  </si>
  <si>
    <r>
      <t xml:space="preserve">mg </t>
    </r>
    <r>
      <rPr>
        <i/>
        <sz val="11"/>
        <color theme="1"/>
        <rFont val="Calibri"/>
        <family val="2"/>
        <scheme val="minor"/>
      </rPr>
      <t xml:space="preserve">K </t>
    </r>
    <r>
      <rPr>
        <sz val="11"/>
        <color theme="1"/>
        <rFont val="Calibri"/>
        <family val="2"/>
        <scheme val="minor"/>
      </rPr>
      <t>L</t>
    </r>
    <r>
      <rPr>
        <vertAlign val="superscript"/>
        <sz val="11"/>
        <color theme="1"/>
        <rFont val="Calibri"/>
        <family val="2"/>
        <scheme val="minor"/>
      </rPr>
      <t>-3</t>
    </r>
  </si>
  <si>
    <r>
      <t xml:space="preserve">mg </t>
    </r>
    <r>
      <rPr>
        <i/>
        <sz val="11"/>
        <color theme="1"/>
        <rFont val="Calibri"/>
        <family val="2"/>
        <scheme val="minor"/>
      </rPr>
      <t xml:space="preserve">P </t>
    </r>
    <r>
      <rPr>
        <sz val="11"/>
        <color theme="1"/>
        <rFont val="Calibri"/>
        <family val="2"/>
        <scheme val="minor"/>
      </rPr>
      <t>L</t>
    </r>
    <r>
      <rPr>
        <vertAlign val="superscript"/>
        <sz val="11"/>
        <color theme="1"/>
        <rFont val="Calibri"/>
        <family val="2"/>
        <scheme val="minor"/>
      </rPr>
      <t>-2</t>
    </r>
  </si>
  <si>
    <t>Concentracion de P</t>
  </si>
  <si>
    <t>Concentracion de K</t>
  </si>
  <si>
    <r>
      <t>kg</t>
    </r>
    <r>
      <rPr>
        <i/>
        <sz val="11"/>
        <color theme="1"/>
        <rFont val="Calibri"/>
        <family val="2"/>
        <scheme val="minor"/>
      </rPr>
      <t xml:space="preserve"> 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</si>
  <si>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t>
    </r>
    <r>
      <rPr>
        <i/>
        <sz val="11"/>
        <color theme="1"/>
        <rFont val="Calibri"/>
        <family val="2"/>
        <scheme val="minor"/>
      </rPr>
      <t xml:space="preserve"> 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</si>
  <si>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</si>
  <si>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</si>
  <si>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Aporte de N por fertilización orgánica</t>
  </si>
  <si>
    <t>Aporte de N por fertilización inorgánica</t>
  </si>
  <si>
    <t>Pérdidas de N debidas a la fertilización por desnitrificación en forma de N₂O</t>
  </si>
  <si>
    <t>Pérdidas basales de N por desnitrificación en forma de N₂</t>
  </si>
  <si>
    <t>Pérdidas de N debidas a la fertilización por desnitrificación en forma de N₂</t>
  </si>
  <si>
    <t>Pérdidas basales de N por desnitrificación en forma de N₂O (valor fijo)</t>
  </si>
  <si>
    <t>Aporte de N por cobertura verde</t>
  </si>
  <si>
    <t>Pérdidas basales de N por volatilización (valor fijo)</t>
  </si>
  <si>
    <t>Aporte de N por estiércol</t>
  </si>
  <si>
    <t>N total del suelo</t>
  </si>
  <si>
    <t>Densidad aparente del suelo (valor fijo)</t>
  </si>
  <si>
    <t>N disponible por mineralización y nitrificación</t>
  </si>
  <si>
    <t>NPK granulados</t>
  </si>
  <si>
    <t>Sulfato amónico</t>
  </si>
  <si>
    <t>Urea</t>
  </si>
  <si>
    <t>Sulfato potásico</t>
  </si>
  <si>
    <t>Nitrato cálcico</t>
  </si>
  <si>
    <t>Nitrato potásico</t>
  </si>
  <si>
    <t>Cloruro potásico</t>
  </si>
  <si>
    <t>Fertilizantes Inorgánica</t>
  </si>
  <si>
    <t>Superfosfato simple</t>
  </si>
  <si>
    <t>Superfosfato triple</t>
  </si>
  <si>
    <t xml:space="preserve">Fosfato diamónico </t>
  </si>
  <si>
    <t>Sulfato amónico-nítrico</t>
  </si>
  <si>
    <t xml:space="preserve">Nitrato amónico </t>
  </si>
  <si>
    <t>Fosfato monoamónico</t>
  </si>
  <si>
    <t>Nitrato de magnesio</t>
  </si>
  <si>
    <t>Polifosfatos</t>
  </si>
  <si>
    <t>NPK solubles</t>
  </si>
  <si>
    <t>Elige uno de la lista</t>
  </si>
  <si>
    <t>N</t>
  </si>
  <si>
    <t>K</t>
  </si>
  <si>
    <t>Humedad</t>
  </si>
  <si>
    <t>Fertilizante orgánico</t>
  </si>
  <si>
    <t>Concentración de N en el producto (valor fijo)</t>
  </si>
  <si>
    <t>Concentración de P en el producto (valor fijo</t>
  </si>
  <si>
    <t>Concentración de K en el producto (valor fijo</t>
  </si>
  <si>
    <t>Concentración de N en el producto (valor fijo</t>
  </si>
  <si>
    <t>Contenido de Humedad (valor fijo)</t>
  </si>
  <si>
    <t>Concentración de K en el producto (valor fijo)</t>
  </si>
  <si>
    <t>Concentración de P en el producto (valor fijo)</t>
  </si>
  <si>
    <r>
      <t>kg DM m</t>
    </r>
    <r>
      <rPr>
        <vertAlign val="superscript"/>
        <sz val="11"/>
        <color theme="1"/>
        <rFont val="Calibri"/>
        <family val="2"/>
        <scheme val="minor"/>
      </rPr>
      <t>-2</t>
    </r>
    <r>
      <rPr>
        <sz val="11"/>
        <color theme="1"/>
        <rFont val="Calibri"/>
        <family val="2"/>
        <scheme val="minor"/>
      </rPr>
      <t xml:space="preserve"> año</t>
    </r>
    <r>
      <rPr>
        <vertAlign val="superscript"/>
        <sz val="11"/>
        <color theme="1"/>
        <rFont val="Calibri"/>
        <family val="2"/>
        <scheme val="minor"/>
      </rPr>
      <t>-1</t>
    </r>
  </si>
  <si>
    <t>Proporción de leguminosas en la biomasa de la cubierta vegetal (materia seca) (valor fijo)</t>
  </si>
  <si>
    <t>Contenido de N en la parte aérea de las leguminosas (valor fijo)</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</si>
  <si>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</si>
  <si>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-0</t>
    </r>
  </si>
  <si>
    <t>Contenido de Humedad fruto</t>
  </si>
  <si>
    <t>Contenido de Humedad ramas y hojas</t>
  </si>
  <si>
    <t>Resultado de la extracción de la cosecha de olivo (PS)</t>
  </si>
  <si>
    <t xml:space="preserve">Contenido de N en ramas y hojas </t>
  </si>
  <si>
    <t xml:space="preserve">Contenido de P en ramas y hojas </t>
  </si>
  <si>
    <t xml:space="preserve">Contenido de K en ramas y hojas </t>
  </si>
  <si>
    <t xml:space="preserve">Contenido de K en los frutos de olivo </t>
  </si>
  <si>
    <t xml:space="preserve">Contenido de P en los frutos de olivo </t>
  </si>
  <si>
    <t xml:space="preserve">Contenido de N en los frutos de olivo </t>
  </si>
  <si>
    <t>P total del suelo</t>
  </si>
  <si>
    <t>K total del suelo</t>
  </si>
  <si>
    <t>Profundidad considerada para calcular el N total del suelo (valor fijo)</t>
  </si>
  <si>
    <t>Entradas N - Salidas N</t>
  </si>
  <si>
    <t>MO %</t>
  </si>
  <si>
    <t>Materia orgánica del suelo</t>
  </si>
  <si>
    <t>1.81 - 2.40</t>
  </si>
  <si>
    <t>1.20 - 1.80</t>
  </si>
  <si>
    <t>Promedio (%)</t>
  </si>
  <si>
    <t xml:space="preserve">N total suelo </t>
  </si>
  <si>
    <t xml:space="preserve">ENTRADAS TOTALES </t>
  </si>
  <si>
    <t xml:space="preserve">SALIDAS TOTALES </t>
  </si>
  <si>
    <t>Entradas de N natural</t>
  </si>
  <si>
    <t>Entradas de N Antropogénico</t>
  </si>
  <si>
    <t>Entradas totales de N</t>
  </si>
  <si>
    <t>Entradas totales de P</t>
  </si>
  <si>
    <t>Entradas totales de K</t>
  </si>
  <si>
    <r>
      <t>kg N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</si>
  <si>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 P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</si>
  <si>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 K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</si>
  <si>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Salidas de N inducidas por el manejo agrícola</t>
  </si>
  <si>
    <t>Salidas de P inducidas por el manejo agrícola</t>
  </si>
  <si>
    <t>Salidas de K inducidas por el manejo agrícola</t>
  </si>
  <si>
    <t>Entradas totales N - Salidas totales N</t>
  </si>
  <si>
    <t>Entradas totales P - Salidas totales P</t>
  </si>
  <si>
    <t>Entradas totales K - Salidas totales K</t>
  </si>
  <si>
    <t>Entradas de P natural</t>
  </si>
  <si>
    <t>Entradas de P Antropogénico</t>
  </si>
  <si>
    <t>Entradas de K natural</t>
  </si>
  <si>
    <t>Entradas de K Antropogénico</t>
  </si>
  <si>
    <t>Rango de pendiente</t>
  </si>
  <si>
    <t>Pérdida base (t ha⁻¹ año⁻¹)</t>
  </si>
  <si>
    <t>0–2 %</t>
  </si>
  <si>
    <t>2–10 %</t>
  </si>
  <si>
    <t>10–20 %</t>
  </si>
  <si>
    <t>&gt;20 %</t>
  </si>
  <si>
    <t>Cárcavas</t>
  </si>
  <si>
    <t>Multiplicador</t>
  </si>
  <si>
    <t>No hay</t>
  </si>
  <si>
    <t>×1,0</t>
  </si>
  <si>
    <t>Ligeras</t>
  </si>
  <si>
    <t>×2</t>
  </si>
  <si>
    <t>Medias</t>
  </si>
  <si>
    <t>×5</t>
  </si>
  <si>
    <t>Acusadas</t>
  </si>
  <si>
    <t>×10</t>
  </si>
  <si>
    <t>P</t>
  </si>
  <si>
    <t xml:space="preserve">Pendiente </t>
  </si>
  <si>
    <r>
      <t>tn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</si>
  <si>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Pérdida de suelo total por erosión</t>
  </si>
  <si>
    <t xml:space="preserve">   </t>
  </si>
  <si>
    <t>RECOMENDACIÓN</t>
  </si>
  <si>
    <t>DEMANDA POR EL ÁRBOL</t>
  </si>
  <si>
    <t>Número de árboles por hectarea</t>
  </si>
  <si>
    <r>
      <t>árbol ha</t>
    </r>
    <r>
      <rPr>
        <vertAlign val="superscript"/>
        <sz val="11"/>
        <color theme="1"/>
        <rFont val="Calibri"/>
        <family val="2"/>
        <scheme val="minor"/>
      </rPr>
      <t>-1</t>
    </r>
  </si>
  <si>
    <t xml:space="preserve">Edad </t>
  </si>
  <si>
    <t>Superficie de copa</t>
  </si>
  <si>
    <t>Demanda del árbol N</t>
  </si>
  <si>
    <t>Demanda del árbol P</t>
  </si>
  <si>
    <t>Demanda del árbol K</t>
  </si>
  <si>
    <t>años</t>
  </si>
  <si>
    <t>Nitrógeno (N)</t>
  </si>
  <si>
    <t>Fósforo (P)</t>
  </si>
  <si>
    <t>Potasio (K)</t>
  </si>
  <si>
    <t>80–150 kg N/ha en regadío, ajustando a tu demanda del árbol</t>
  </si>
  <si>
    <r>
      <rPr>
        <b/>
        <sz val="11"/>
        <color theme="1"/>
        <rFont val="Calibri"/>
        <family val="2"/>
        <scheme val="minor"/>
      </rPr>
      <t>Exceso alto (&gt; +20 kg/ha):</t>
    </r>
    <r>
      <rPr>
        <sz val="11"/>
        <color theme="1"/>
        <rFont val="Calibri"/>
        <family val="2"/>
        <scheme val="minor"/>
      </rPr>
      <t xml:space="preserve"> Exceso de de N. Reduce la dosis el año que viene (en torno a un 20–40%). No pasar de 150 kg N/ha</t>
    </r>
  </si>
  <si>
    <r>
      <t>Correcto (−10 a +10)</t>
    </r>
    <r>
      <rPr>
        <sz val="11"/>
        <color theme="1"/>
        <rFont val="Calibri"/>
        <family val="2"/>
        <scheme val="minor"/>
      </rPr>
      <t>: Bien. Mantén la pauta actual.</t>
    </r>
  </si>
  <si>
    <r>
      <t xml:space="preserve">Déficit alto (&lt; −20): </t>
    </r>
    <r>
      <rPr>
        <sz val="11"/>
        <color theme="1"/>
        <rFont val="Calibri"/>
        <family val="2"/>
        <scheme val="minor"/>
      </rPr>
      <t xml:space="preserve">Aumenta la dosis de N, pero sin pasarte: como guía, 50–100 kg N/ha en secano y </t>
    </r>
  </si>
  <si>
    <r>
      <t xml:space="preserve">Exceso (&gt; +5 kg/ha): </t>
    </r>
    <r>
      <rPr>
        <sz val="11"/>
        <color theme="1"/>
        <rFont val="Calibri"/>
        <family val="2"/>
        <scheme val="minor"/>
      </rPr>
      <t>No apliques P este año (o sólo un mantenimiento mínimo).</t>
    </r>
  </si>
  <si>
    <r>
      <t xml:space="preserve">Correcto (−5 a +5): </t>
    </r>
    <r>
      <rPr>
        <sz val="11"/>
        <color theme="1"/>
        <rFont val="Calibri"/>
        <family val="2"/>
        <scheme val="minor"/>
      </rPr>
      <t>Bien. Normalmente no hace falta aportar más P.</t>
    </r>
  </si>
  <si>
    <r>
      <t xml:space="preserve">Déficit (&lt; −5): </t>
    </r>
    <r>
      <rPr>
        <sz val="11"/>
        <color theme="1"/>
        <rFont val="Calibri"/>
        <family val="2"/>
        <scheme val="minor"/>
      </rPr>
      <t>Aplica P para reponer. Como guía: 10–20 kg P/ha (≈ 23–46 kg P₂O₅/ha)</t>
    </r>
  </si>
  <si>
    <t>Regla por cosecha: ≈ 1 kg P por cada tonelada de aceituna.</t>
  </si>
  <si>
    <r>
      <t>Regla sencilla por cosecha</t>
    </r>
    <r>
      <rPr>
        <sz val="11"/>
        <color theme="1"/>
        <rFont val="Calibri"/>
        <family val="2"/>
        <scheme val="minor"/>
      </rPr>
      <t xml:space="preserve"> (para ayudarte a ajustar): </t>
    </r>
    <r>
      <rPr>
        <b/>
        <sz val="11"/>
        <color theme="1"/>
        <rFont val="Calibri"/>
        <family val="2"/>
        <scheme val="minor"/>
      </rPr>
      <t>≈ 5 kg N por cada tonelada de aceituna producida.</t>
    </r>
  </si>
  <si>
    <r>
      <t xml:space="preserve">Exceso (&gt; +20 kg/ha): </t>
    </r>
    <r>
      <rPr>
        <sz val="11"/>
        <color theme="1"/>
        <rFont val="Calibri"/>
        <family val="2"/>
        <scheme val="minor"/>
      </rPr>
      <t>Reduce algo el K (−10–30%), sobre todo si vienes de una cosecha baja.</t>
    </r>
  </si>
  <si>
    <t>Regla por cosecha: ≈ 10 kg K por cada tonelada de aceituna.</t>
  </si>
  <si>
    <r>
      <t xml:space="preserve">Correcto (−20 a +20): </t>
    </r>
    <r>
      <rPr>
        <sz val="11"/>
        <color theme="1"/>
        <rFont val="Calibri"/>
        <family val="2"/>
        <scheme val="minor"/>
      </rPr>
      <t>Bien. Mantén la pauta</t>
    </r>
  </si>
  <si>
    <r>
      <t xml:space="preserve">Exceso ligero (+10 a +20): </t>
    </r>
    <r>
      <rPr>
        <sz val="11"/>
        <color theme="1"/>
        <rFont val="Calibri"/>
        <family val="2"/>
        <scheme val="minor"/>
      </rPr>
      <t>Ajusta algo a la baja (−10–20%).</t>
    </r>
  </si>
  <si>
    <r>
      <t>Déficit (&lt; −20):</t>
    </r>
    <r>
      <rPr>
        <sz val="11"/>
        <color theme="1"/>
        <rFont val="Calibri"/>
        <family val="2"/>
        <scheme val="minor"/>
      </rPr>
      <t xml:space="preserve"> Aplica K para reponer. Guía de mantenimiento en producción: 50–100 kg K/ha </t>
    </r>
  </si>
  <si>
    <t>(≈ 60–120 kg K₂O/ha) y ajusta a tu demanda.</t>
  </si>
  <si>
    <r>
      <rPr>
        <b/>
        <sz val="11"/>
        <color theme="1"/>
        <rFont val="Calibri"/>
        <family val="2"/>
        <scheme val="minor"/>
      </rPr>
      <t xml:space="preserve">Déficit ligero (−10 a −20): </t>
    </r>
    <r>
      <rPr>
        <sz val="11"/>
        <color theme="1"/>
        <rFont val="Calibri"/>
        <family val="2"/>
        <scheme val="minor"/>
      </rPr>
      <t>Aumenta algo el N para cubrir ese faltante (aporta el déficit y añade un 10% de margen).</t>
    </r>
  </si>
  <si>
    <r>
      <t>m</t>
    </r>
    <r>
      <rPr>
        <vertAlign val="superscript"/>
        <sz val="11"/>
        <color theme="1"/>
        <rFont val="Calibri"/>
        <family val="2"/>
        <scheme val="minor"/>
      </rPr>
      <t>2</t>
    </r>
    <r>
      <rPr>
        <sz val="11"/>
        <color theme="1"/>
        <rFont val="Calibri"/>
        <family val="2"/>
        <scheme val="minor"/>
      </rPr>
      <t xml:space="preserve"> ha</t>
    </r>
    <r>
      <rPr>
        <vertAlign val="superscript"/>
        <sz val="11"/>
        <color theme="1"/>
        <rFont val="Calibri"/>
        <family val="2"/>
        <scheme val="minor"/>
      </rPr>
      <t>-1</t>
    </r>
  </si>
  <si>
    <r>
      <t>m</t>
    </r>
    <r>
      <rPr>
        <vertAlign val="superscript"/>
        <sz val="11"/>
        <color theme="1"/>
        <rFont val="Calibri"/>
        <family val="2"/>
        <scheme val="minor"/>
      </rPr>
      <t>2</t>
    </r>
  </si>
  <si>
    <t xml:space="preserve">Superficie finca </t>
  </si>
  <si>
    <t>¿Dejan cubierta vegetal?</t>
  </si>
  <si>
    <t xml:space="preserve">Estiércol de oveja </t>
  </si>
  <si>
    <t xml:space="preserve">Estiércol de vaca </t>
  </si>
  <si>
    <t xml:space="preserve">Estiércol de cabra </t>
  </si>
  <si>
    <t xml:space="preserve">Estiércol de gallina </t>
  </si>
  <si>
    <t xml:space="preserve">Estiércol de caballo </t>
  </si>
  <si>
    <t>Si</t>
  </si>
  <si>
    <t>No</t>
  </si>
  <si>
    <t>¿Dejan Cubiertas?</t>
  </si>
  <si>
    <t>Si dice Si, ¿Qué tipo de cubierta?</t>
  </si>
  <si>
    <t>¿Qué tipo de cubierta?</t>
  </si>
  <si>
    <t xml:space="preserve">Toda la finca </t>
  </si>
  <si>
    <t>Bandas 0-2 metro</t>
  </si>
  <si>
    <t>Bandas de 2-3 metros</t>
  </si>
  <si>
    <t>Bandas de &gt;3 metros</t>
  </si>
  <si>
    <t>¿La altura de la cubierta vegetal crece en promedio?</t>
  </si>
  <si>
    <t>cubierta &lt; 20 cm de altura</t>
  </si>
  <si>
    <t>cubierta entre 20-50 cm altura</t>
  </si>
  <si>
    <t>cubierta &gt; 50 cm altura</t>
  </si>
  <si>
    <t>gr de biomasa seca (incluye aérea y radicular) por m2 cubierto.</t>
  </si>
  <si>
    <t>2.2% Nitrogeno</t>
  </si>
  <si>
    <t xml:space="preserve">Superficie cubierta </t>
  </si>
  <si>
    <t>Bandas metros promedio</t>
  </si>
  <si>
    <t xml:space="preserve">P </t>
  </si>
  <si>
    <t>&gt;50 años</t>
  </si>
  <si>
    <t>&lt;50 años</t>
  </si>
  <si>
    <t>¿Qué hace con la poda?</t>
  </si>
  <si>
    <t>Triturarla y dejarla</t>
  </si>
  <si>
    <t>Quemarla</t>
  </si>
  <si>
    <r>
      <t>kg ha</t>
    </r>
    <r>
      <rPr>
        <vertAlign val="superscript"/>
        <sz val="11"/>
        <color theme="1"/>
        <rFont val="Calibri"/>
        <family val="2"/>
        <scheme val="minor"/>
      </rPr>
      <t>-1</t>
    </r>
    <r>
      <rPr>
        <sz val="11"/>
        <color theme="1"/>
        <rFont val="Calibri"/>
        <family val="2"/>
        <scheme val="minor"/>
      </rPr>
      <t>año</t>
    </r>
    <r>
      <rPr>
        <vertAlign val="superscript"/>
        <sz val="11"/>
        <color theme="1"/>
        <rFont val="Calibri"/>
        <family val="2"/>
        <scheme val="minor"/>
      </rPr>
      <t>-1</t>
    </r>
  </si>
  <si>
    <r>
      <t>Kg  año</t>
    </r>
    <r>
      <rPr>
        <vertAlign val="superscript"/>
        <sz val="11"/>
        <color theme="1"/>
        <rFont val="Calibri"/>
        <family val="2"/>
        <scheme val="minor"/>
      </rPr>
      <t>-1</t>
    </r>
  </si>
  <si>
    <t>¿Cómo diría que es su suelo?</t>
  </si>
  <si>
    <t>¿Cómo diria que es su suelo?</t>
  </si>
  <si>
    <t>Suelo ligero (Franco o Franco-arenoso)</t>
  </si>
  <si>
    <t>% arcilla</t>
  </si>
  <si>
    <t>Suelo Pesado (arcilloso)</t>
  </si>
  <si>
    <t>&gt;3</t>
  </si>
  <si>
    <t>Salidas de N por la cosecha/poda</t>
  </si>
  <si>
    <t>Salidas de P por la cosecha/poda</t>
  </si>
  <si>
    <t>Salidas de K por la cosecha/poda</t>
  </si>
  <si>
    <r>
      <t>kg ha</t>
    </r>
    <r>
      <rPr>
        <b/>
        <vertAlign val="superscript"/>
        <sz val="11"/>
        <color theme="1"/>
        <rFont val="Calibri"/>
        <family val="2"/>
        <scheme val="minor"/>
      </rPr>
      <t>-1</t>
    </r>
    <r>
      <rPr>
        <b/>
        <sz val="11"/>
        <color theme="1"/>
        <rFont val="Calibri"/>
        <family val="2"/>
        <scheme val="minor"/>
      </rPr>
      <t>año</t>
    </r>
    <r>
      <rPr>
        <b/>
        <vertAlign val="superscript"/>
        <sz val="11"/>
        <color theme="1"/>
        <rFont val="Calibri"/>
        <family val="2"/>
        <scheme val="minor"/>
      </rPr>
      <t>-1</t>
    </r>
  </si>
  <si>
    <t>Poda ligera generada en toda la finca</t>
  </si>
  <si>
    <t>Poda ligera generada en una hectárea</t>
  </si>
  <si>
    <t>11–20 años</t>
  </si>
  <si>
    <t>21–40 años</t>
  </si>
  <si>
    <t>41–80 años</t>
  </si>
  <si>
    <t>&gt;80 años</t>
  </si>
  <si>
    <t>Edad</t>
  </si>
  <si>
    <t>Diámetro copa (m)</t>
  </si>
  <si>
    <t>Radio (m)</t>
  </si>
  <si>
    <t>Superficie de copa (m²)</t>
  </si>
  <si>
    <t>Fuente</t>
  </si>
  <si>
    <t>0–5 años</t>
  </si>
  <si>
    <t>1.5 m</t>
  </si>
  <si>
    <t>1.8 m²</t>
  </si>
  <si>
    <t>IFAPA (jóvenes en formación)</t>
  </si>
  <si>
    <t>6–10 años</t>
  </si>
  <si>
    <t>3.0 m</t>
  </si>
  <si>
    <t>7.1 m²</t>
  </si>
  <si>
    <t>IFAPA / MAPA</t>
  </si>
  <si>
    <t>4.5 m</t>
  </si>
  <si>
    <t>15.9 m²</t>
  </si>
  <si>
    <t>UC Davis / Tous et al.</t>
  </si>
  <si>
    <t>6.0 m</t>
  </si>
  <si>
    <t>IFAPA, MAPA</t>
  </si>
  <si>
    <t>7.0 m</t>
  </si>
  <si>
    <t>Pastor et al.</t>
  </si>
  <si>
    <t>7.5–8.0 m</t>
  </si>
  <si>
    <t>3.75–4</t>
  </si>
  <si>
    <t>Olivar tradicional (&gt;80 años)</t>
  </si>
  <si>
    <t>Para demanda por el árbol</t>
  </si>
  <si>
    <t>RESULTADOS DEL BALANCE</t>
  </si>
  <si>
    <t>35 m²</t>
  </si>
  <si>
    <t>25.8 m²</t>
  </si>
  <si>
    <t>20.3 m²</t>
  </si>
  <si>
    <t>Peso seco</t>
  </si>
  <si>
    <t>DATOS DE LA FINCA</t>
  </si>
  <si>
    <t>Balance de N</t>
  </si>
  <si>
    <t>Balance de P</t>
  </si>
  <si>
    <t>Balance de K</t>
  </si>
  <si>
    <t xml:space="preserve">Resultados </t>
  </si>
  <si>
    <t>INSTRUCCIONES</t>
  </si>
  <si>
    <t>En la sección “Recomendaciones” se ofrece un consejo para ajustar, si es necesario, las dosis de nutrientes de cara a la próxima campaña.</t>
  </si>
  <si>
    <t>En la sección “Balance” se mostrará automáticamente el estado nutricional de tu olivar, mediante un código de colores (rojo, amarillo y verde) que indica si los niveles de nutrientes son elevados, deficitarios o correctos, respectivamente.</t>
  </si>
  <si>
    <t>RECOMENDACIONES</t>
  </si>
  <si>
    <t>Una herramienta del proyecto ©NUTRIOLIVAR</t>
  </si>
  <si>
    <t>DEMANDA POR PARTE DEL ÁRBOL</t>
  </si>
  <si>
    <t>veces/año</t>
  </si>
  <si>
    <t>kg/ha</t>
  </si>
  <si>
    <t>kg N/ha y año</t>
  </si>
  <si>
    <t>kg P/ha y año</t>
  </si>
  <si>
    <t>kg K/ha y año</t>
  </si>
  <si>
    <t>CALCULADORA DE REQUERIMIENTOS 
NUTRICIONALES DEL OLIVAR</t>
  </si>
  <si>
    <r>
      <t>L/m</t>
    </r>
    <r>
      <rPr>
        <vertAlign val="superscript"/>
        <sz val="11"/>
        <color theme="1"/>
        <rFont val="Calibri"/>
        <family val="2"/>
        <scheme val="minor"/>
      </rPr>
      <t>2</t>
    </r>
  </si>
  <si>
    <t>Cantidad de precipitación anual</t>
  </si>
  <si>
    <t xml:space="preserve">kg/ha </t>
  </si>
  <si>
    <r>
      <t>m</t>
    </r>
    <r>
      <rPr>
        <vertAlign val="superscript"/>
        <sz val="11"/>
        <color theme="1"/>
        <rFont val="Calibri"/>
        <family val="2"/>
        <scheme val="minor"/>
      </rPr>
      <t>3</t>
    </r>
    <r>
      <rPr>
        <sz val="11"/>
        <color theme="1"/>
        <rFont val="Calibri"/>
        <family val="2"/>
        <scheme val="minor"/>
      </rPr>
      <t xml:space="preserve">/ha </t>
    </r>
  </si>
  <si>
    <t>Densidad de plantación</t>
  </si>
  <si>
    <t>árboles/ha</t>
  </si>
  <si>
    <t>Introduce solo datos en las casillas verdes con la información de tu olivar para el último año de cosecha. Puedes escribir el número o elegir una opción del menú. No dejes casillas verdes sin rellenar (salvo para fertilizantes orgánicos e inorgánicos, donde marcarás solo los que uses).</t>
  </si>
  <si>
    <t>Contenido de N en la poda ligera que se queda en la finca</t>
  </si>
  <si>
    <t>Contenido de P en la poda  ligera que se queda en la finca</t>
  </si>
  <si>
    <t>Contenido de K en la poda  ligera que se queda en la finca</t>
  </si>
  <si>
    <t>Porcentaje de entradas Naturales de N con respecto al total</t>
  </si>
  <si>
    <t>Porcentaje de entradas Naturales de P con respecto al total</t>
  </si>
  <si>
    <t>Porcentaje de entradas Naturales de K con respecto al total</t>
  </si>
  <si>
    <t>DATOS SOBRE EL SUELO Y EL CLIMA</t>
  </si>
  <si>
    <t>DATOS SOBRE EL MANEJO</t>
  </si>
  <si>
    <t>Salidas totales de N</t>
  </si>
  <si>
    <t>Salidas totales de P</t>
  </si>
  <si>
    <t>Salidas totales de K</t>
  </si>
  <si>
    <t>Autores: Evangelina Pareja Sánchez, Pablo Domouso de Agar, José Liétor Gallego &amp; Roberto García Ruiz</t>
  </si>
  <si>
    <t>Introduzca los porcentajes reales de su producto en formato N–P–K (ej.: 20–10–20) para el NPK granulado o NPK soluble. El resto de fertilizantes se calculan automáticamente, solo hay que poner la dosis de aplicación.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</si>
</sst>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
    <numFmt numFmtId="167" formatCode="0.000"/>
  </numFmts>
  <fonts count="41" x14ac:knownFonts="1">
    <font>
      <sz val="11"/>
      <color theme="1"/>
      <name val="Calibri"/>
      <family val="2"/>
      <scheme val="minor"/>
    </font>
    <font>
      <b/>
      <sz val="12"/>
      <color theme="9" tint="-0.499984740745262"/>
      <name val="Calibri"/>
      <family val="2"/>
      <scheme val="minor"/>
    </font>
    <font>
      <sz val="9"/>
      <color indexed="81"/>
      <name val="Tahoma"/>
      <family val="2"/>
    </font>
    <font>
      <b/>
      <sz val="9"/>
      <color indexed="81"/>
      <name val="Tahoma"/>
      <family val="2"/>
    </font>
    <font>
      <vertAlign val="superscript"/>
      <sz val="11"/>
      <color theme="1"/>
      <name val="Calibri"/>
      <family val="2"/>
      <scheme val="minor"/>
    </font>
    <font>
      <b/>
      <i/>
      <sz val="11"/>
      <color theme="2" tint="-0.749992370372631"/>
      <name val="Calibri"/>
      <family val="2"/>
      <scheme val="minor"/>
    </font>
    <font>
      <b/>
      <sz val="11"/>
      <color theme="2" tint="-0.749992370372631"/>
      <name val="Calibri"/>
      <family val="2"/>
      <scheme val="minor"/>
    </font>
    <font>
      <i/>
      <sz val="11"/>
      <color theme="1"/>
      <name val="Calibri"/>
      <family val="2"/>
      <scheme val="minor"/>
    </font>
    <font>
      <sz val="11"/>
      <color rgb="FF000000"/>
      <name val="Calibri"/>
      <family val="2"/>
      <scheme val="minor"/>
    </font>
    <font>
      <sz val="11"/>
      <name val="Calibri"/>
      <family val="2"/>
      <scheme val="minor"/>
    </font>
    <font>
      <b/>
      <sz val="11"/>
      <color theme="1"/>
      <name val="Calibri"/>
      <family val="2"/>
      <scheme val="minor"/>
    </font>
    <font>
      <b/>
      <sz val="14"/>
      <color theme="9" tint="-0.499984740745262"/>
      <name val="Calibri"/>
      <family val="2"/>
      <scheme val="minor"/>
    </font>
    <font>
      <b/>
      <sz val="14"/>
      <color rgb="FF2201E9"/>
      <name val="Calibri"/>
      <family val="2"/>
      <scheme val="minor"/>
    </font>
    <font>
      <b/>
      <sz val="18"/>
      <color theme="9" tint="-0.249977111117893"/>
      <name val="Calibri"/>
      <family val="2"/>
      <scheme val="minor"/>
    </font>
    <font>
      <i/>
      <sz val="9"/>
      <color indexed="81"/>
      <name val="Tahoma"/>
      <family val="2"/>
    </font>
    <font>
      <b/>
      <sz val="14"/>
      <color rgb="FFC00000"/>
      <name val="Calibri"/>
      <family val="2"/>
      <scheme val="minor"/>
    </font>
    <font>
      <b/>
      <sz val="14"/>
      <color theme="9" tint="-0.249977111117893"/>
      <name val="Calibri"/>
      <family val="2"/>
      <scheme val="minor"/>
    </font>
    <font>
      <b/>
      <sz val="18"/>
      <color rgb="FF2201E9"/>
      <name val="Calibri"/>
      <family val="2"/>
      <scheme val="minor"/>
    </font>
    <font>
      <b/>
      <sz val="18"/>
      <color theme="9" tint="-0.499984740745262"/>
      <name val="Calibri"/>
      <family val="2"/>
      <scheme val="minor"/>
    </font>
    <font>
      <b/>
      <sz val="22"/>
      <color theme="1"/>
      <name val="Calibri"/>
      <family val="2"/>
      <scheme val="minor"/>
    </font>
    <font>
      <b/>
      <sz val="11"/>
      <name val="Calibri"/>
      <family val="2"/>
      <scheme val="minor"/>
    </font>
    <font>
      <b/>
      <sz val="18"/>
      <color theme="5" tint="-0.499984740745262"/>
      <name val="Calibri"/>
      <family val="2"/>
      <scheme val="minor"/>
    </font>
    <font>
      <b/>
      <sz val="14"/>
      <color theme="5" tint="-0.499984740745262"/>
      <name val="Calibri"/>
      <family val="2"/>
      <scheme val="minor"/>
    </font>
    <font>
      <b/>
      <vertAlign val="subscript"/>
      <sz val="14"/>
      <color theme="5" tint="-0.499984740745262"/>
      <name val="Calibri"/>
      <family val="2"/>
      <scheme val="minor"/>
    </font>
    <font>
      <sz val="8"/>
      <name val="Calibri"/>
      <family val="2"/>
      <scheme val="minor"/>
    </font>
    <font>
      <b/>
      <sz val="24"/>
      <color theme="1"/>
      <name val="Calibri"/>
      <family val="2"/>
      <scheme val="minor"/>
    </font>
    <font>
      <b/>
      <sz val="18"/>
      <color theme="7" tint="-0.499984740745262"/>
      <name val="Calibri"/>
      <family val="2"/>
      <scheme val="minor"/>
    </font>
    <font>
      <b/>
      <sz val="14"/>
      <color theme="7" tint="-0.499984740745262"/>
      <name val="Calibri"/>
      <family val="2"/>
      <scheme val="minor"/>
    </font>
    <font>
      <b/>
      <sz val="18"/>
      <color theme="9" tint="0.79998168889431442"/>
      <name val="Calibri"/>
      <family val="2"/>
      <scheme val="minor"/>
    </font>
    <font>
      <b/>
      <sz val="18"/>
      <color theme="1"/>
      <name val="Calibri"/>
      <family val="2"/>
      <scheme val="minor"/>
    </font>
    <font>
      <b/>
      <vertAlign val="superscript"/>
      <sz val="11"/>
      <color theme="1"/>
      <name val="Calibri"/>
      <family val="2"/>
      <scheme val="minor"/>
    </font>
    <font>
      <b/>
      <sz val="18"/>
      <color theme="0"/>
      <name val="Calibri"/>
      <family val="2"/>
      <scheme val="minor"/>
    </font>
    <font>
      <b/>
      <sz val="14"/>
      <name val="Calibri"/>
      <family val="2"/>
      <scheme val="minor"/>
    </font>
    <font>
      <b/>
      <sz val="12"/>
      <color theme="0"/>
      <name val="Calibri"/>
      <family val="2"/>
      <scheme val="minor"/>
    </font>
    <font>
      <b/>
      <sz val="19"/>
      <color theme="1"/>
      <name val="Calibri"/>
      <family val="2"/>
      <scheme val="minor"/>
    </font>
    <font>
      <sz val="19"/>
      <color theme="1"/>
      <name val="Calibri"/>
      <family val="2"/>
      <scheme val="minor"/>
    </font>
    <font>
      <b/>
      <sz val="10"/>
      <color theme="2" tint="-0.749992370372631"/>
      <name val="Calibri"/>
      <family val="2"/>
      <scheme val="minor"/>
    </font>
    <font>
      <sz val="10"/>
      <color theme="1"/>
      <name val="Calibri"/>
      <family val="2"/>
      <scheme val="minor"/>
    </font>
    <font>
      <sz val="8"/>
      <color theme="1"/>
      <name val="Calibri"/>
      <family val="2"/>
    </font>
    <font>
      <sz val="8"/>
      <color theme="1"/>
      <name val="Calibri"/>
      <family val="2"/>
      <scheme val="minor"/>
    </font>
    <font>
      <sz val="10"/>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5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dotted">
        <color indexed="64"/>
      </bottom>
      <diagonal/>
    </border>
    <border>
      <left/>
      <right style="thin">
        <color auto="1"/>
      </right>
      <top style="dotted">
        <color indexed="64"/>
      </top>
      <bottom style="dotted">
        <color indexed="64"/>
      </bottom>
      <diagonal/>
    </border>
    <border>
      <left/>
      <right style="thin">
        <color auto="1"/>
      </right>
      <top/>
      <bottom style="dotted">
        <color indexed="64"/>
      </bottom>
      <diagonal/>
    </border>
    <border>
      <left/>
      <right style="thin">
        <color auto="1"/>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1"/>
      </bottom>
      <diagonal/>
    </border>
    <border>
      <left/>
      <right style="thin">
        <color auto="1"/>
      </right>
      <top style="thin">
        <color auto="1"/>
      </top>
      <bottom style="dotted">
        <color theme="1"/>
      </bottom>
      <diagonal/>
    </border>
    <border>
      <left/>
      <right style="thin">
        <color theme="1"/>
      </right>
      <top style="thin">
        <color theme="1"/>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thick">
        <color theme="0" tint="-0.249977111117893"/>
      </left>
      <right/>
      <top style="thick">
        <color theme="0" tint="-0.249977111117893"/>
      </top>
      <bottom/>
      <diagonal/>
    </border>
    <border>
      <left/>
      <right/>
      <top style="thick">
        <color theme="0" tint="-0.249977111117893"/>
      </top>
      <bottom/>
      <diagonal/>
    </border>
    <border>
      <left/>
      <right style="thick">
        <color theme="0" tint="-0.249977111117893"/>
      </right>
      <top style="thick">
        <color theme="0" tint="-0.249977111117893"/>
      </top>
      <bottom/>
      <diagonal/>
    </border>
    <border>
      <left style="thick">
        <color theme="0" tint="-0.249977111117893"/>
      </left>
      <right/>
      <top/>
      <bottom/>
      <diagonal/>
    </border>
    <border>
      <left/>
      <right style="thick">
        <color theme="0" tint="-0.249977111117893"/>
      </right>
      <top/>
      <bottom/>
      <diagonal/>
    </border>
    <border>
      <left style="thick">
        <color theme="0" tint="-0.249977111117893"/>
      </left>
      <right/>
      <top/>
      <bottom style="thick">
        <color theme="0" tint="-0.249977111117893"/>
      </bottom>
      <diagonal/>
    </border>
    <border>
      <left/>
      <right/>
      <top/>
      <bottom style="thick">
        <color theme="0" tint="-0.249977111117893"/>
      </bottom>
      <diagonal/>
    </border>
    <border>
      <left/>
      <right style="thick">
        <color theme="0" tint="-0.249977111117893"/>
      </right>
      <top/>
      <bottom style="thick">
        <color theme="0" tint="-0.249977111117893"/>
      </bottom>
      <diagonal/>
    </border>
    <border>
      <left style="thin">
        <color auto="1"/>
      </left>
      <right style="thick">
        <color theme="0" tint="-0.24997711111789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theme="2" tint="-9.9978637043366805E-2"/>
      </left>
      <right/>
      <top/>
      <bottom/>
      <diagonal/>
    </border>
    <border>
      <left/>
      <right/>
      <top style="thick">
        <color theme="2" tint="-0.24997711111789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ck">
        <color theme="0" tint="-0.249977111117893"/>
      </left>
      <right style="thin">
        <color indexed="64"/>
      </right>
      <top/>
      <bottom/>
      <diagonal/>
    </border>
  </borders>
  <cellStyleXfs count="1">
    <xf numFmtId="0" fontId="0" fillId="0" borderId="0"/>
  </cellStyleXfs>
  <cellXfs count="324">
    <xf numFmtId="0" fontId="0" fillId="0" borderId="0" xfId="0"/>
    <xf numFmtId="0" fontId="1" fillId="0" borderId="0" xfId="0" applyFont="1"/>
    <xf numFmtId="0" fontId="0" fillId="0" borderId="0" xfId="0" applyAlignment="1">
      <alignment wrapText="1"/>
    </xf>
    <xf numFmtId="0" fontId="8" fillId="0" borderId="0" xfId="0" applyFont="1"/>
    <xf numFmtId="0" fontId="0" fillId="2" borderId="0" xfId="0" applyFill="1"/>
    <xf numFmtId="0" fontId="0" fillId="2" borderId="0" xfId="0" applyFill="1" applyBorder="1" applyAlignment="1">
      <alignment wrapText="1"/>
    </xf>
    <xf numFmtId="0" fontId="0" fillId="2" borderId="0" xfId="0" applyFill="1" applyBorder="1"/>
    <xf numFmtId="0" fontId="0" fillId="2" borderId="5" xfId="0" applyNumberFormat="1" applyFill="1" applyBorder="1"/>
    <xf numFmtId="0" fontId="0" fillId="2" borderId="9" xfId="0" applyNumberFormat="1" applyFill="1" applyBorder="1"/>
    <xf numFmtId="0" fontId="0" fillId="2" borderId="10" xfId="0" applyNumberFormat="1" applyFill="1" applyBorder="1"/>
    <xf numFmtId="0" fontId="0" fillId="2" borderId="9" xfId="0" applyFill="1" applyBorder="1"/>
    <xf numFmtId="0" fontId="5" fillId="5" borderId="0" xfId="0" applyFont="1" applyFill="1" applyBorder="1"/>
    <xf numFmtId="0" fontId="5" fillId="5" borderId="0" xfId="0" applyFont="1" applyFill="1" applyBorder="1" applyAlignment="1">
      <alignment wrapText="1"/>
    </xf>
    <xf numFmtId="0" fontId="5" fillId="5" borderId="0" xfId="0" applyFont="1" applyFill="1" applyBorder="1" applyAlignment="1">
      <alignment horizontal="right" wrapText="1"/>
    </xf>
    <xf numFmtId="0" fontId="11" fillId="5" borderId="0" xfId="0" applyFont="1" applyFill="1" applyBorder="1"/>
    <xf numFmtId="0" fontId="0" fillId="5" borderId="0" xfId="0" applyFill="1" applyBorder="1" applyAlignment="1">
      <alignment wrapText="1"/>
    </xf>
    <xf numFmtId="0" fontId="0" fillId="5" borderId="0" xfId="0" applyFill="1" applyBorder="1"/>
    <xf numFmtId="0" fontId="6" fillId="5" borderId="1" xfId="0" applyFont="1" applyFill="1" applyBorder="1"/>
    <xf numFmtId="0" fontId="0" fillId="5" borderId="2" xfId="0" applyFont="1" applyFill="1" applyBorder="1" applyAlignment="1">
      <alignment wrapText="1"/>
    </xf>
    <xf numFmtId="0" fontId="0" fillId="5" borderId="2" xfId="0" applyFill="1" applyBorder="1"/>
    <xf numFmtId="0" fontId="0" fillId="5" borderId="4" xfId="0" applyFill="1" applyBorder="1"/>
    <xf numFmtId="0" fontId="0" fillId="5" borderId="0" xfId="0" applyFont="1" applyFill="1" applyBorder="1" applyAlignment="1">
      <alignment wrapText="1"/>
    </xf>
    <xf numFmtId="0" fontId="6" fillId="5" borderId="4" xfId="0" applyFont="1" applyFill="1" applyBorder="1"/>
    <xf numFmtId="0" fontId="10" fillId="5" borderId="5" xfId="0" applyNumberFormat="1" applyFont="1" applyFill="1" applyBorder="1"/>
    <xf numFmtId="0" fontId="6" fillId="5" borderId="6" xfId="0" applyFont="1" applyFill="1" applyBorder="1"/>
    <xf numFmtId="0" fontId="0" fillId="4" borderId="7" xfId="0" applyFont="1" applyFill="1" applyBorder="1" applyAlignment="1">
      <alignment horizontal="right" wrapText="1"/>
    </xf>
    <xf numFmtId="0" fontId="0" fillId="4" borderId="7" xfId="0" applyFill="1" applyBorder="1"/>
    <xf numFmtId="2" fontId="0" fillId="4" borderId="8" xfId="0" applyNumberFormat="1" applyFill="1" applyBorder="1"/>
    <xf numFmtId="0" fontId="0" fillId="5" borderId="0" xfId="0" applyFont="1" applyFill="1" applyBorder="1"/>
    <xf numFmtId="0" fontId="0" fillId="5" borderId="2" xfId="0" applyFill="1" applyBorder="1" applyAlignment="1">
      <alignment wrapText="1"/>
    </xf>
    <xf numFmtId="0" fontId="0" fillId="5" borderId="1" xfId="0" applyFill="1" applyBorder="1"/>
    <xf numFmtId="0" fontId="0" fillId="5" borderId="3" xfId="0" applyFill="1" applyBorder="1"/>
    <xf numFmtId="0" fontId="0" fillId="5" borderId="5" xfId="0" applyFill="1" applyBorder="1"/>
    <xf numFmtId="0" fontId="0" fillId="5" borderId="6" xfId="0" applyFill="1" applyBorder="1"/>
    <xf numFmtId="0" fontId="0" fillId="5" borderId="7" xfId="0" applyFill="1" applyBorder="1"/>
    <xf numFmtId="0" fontId="0" fillId="0" borderId="0" xfId="0" applyFill="1" applyBorder="1"/>
    <xf numFmtId="0" fontId="0" fillId="5" borderId="0" xfId="0" applyNumberFormat="1" applyFill="1" applyBorder="1"/>
    <xf numFmtId="0" fontId="0" fillId="5" borderId="0" xfId="0" applyFill="1" applyBorder="1" applyAlignment="1">
      <alignment horizontal="right" wrapText="1"/>
    </xf>
    <xf numFmtId="0" fontId="20" fillId="5" borderId="5" xfId="0" applyNumberFormat="1" applyFont="1" applyFill="1" applyBorder="1"/>
    <xf numFmtId="0" fontId="0" fillId="5" borderId="15" xfId="0" applyNumberFormat="1" applyFill="1" applyBorder="1"/>
    <xf numFmtId="0" fontId="15" fillId="5" borderId="0" xfId="0" applyFont="1" applyFill="1" applyBorder="1"/>
    <xf numFmtId="0" fontId="0" fillId="5" borderId="4" xfId="0" applyFill="1" applyBorder="1" applyAlignment="1">
      <alignment wrapText="1"/>
    </xf>
    <xf numFmtId="0" fontId="0" fillId="5" borderId="0" xfId="0" applyFont="1" applyFill="1" applyBorder="1" applyAlignment="1">
      <alignment horizontal="right" wrapText="1"/>
    </xf>
    <xf numFmtId="0" fontId="0" fillId="5" borderId="0" xfId="0" applyFont="1" applyFill="1" applyBorder="1" applyAlignment="1">
      <alignment horizontal="left" wrapText="1"/>
    </xf>
    <xf numFmtId="2" fontId="0" fillId="5" borderId="5" xfId="0" applyNumberFormat="1" applyFill="1" applyBorder="1"/>
    <xf numFmtId="0" fontId="1" fillId="5" borderId="4" xfId="0" applyFont="1" applyFill="1" applyBorder="1"/>
    <xf numFmtId="0" fontId="22" fillId="5" borderId="0" xfId="0" applyFont="1" applyFill="1" applyBorder="1"/>
    <xf numFmtId="0" fontId="0" fillId="6" borderId="7" xfId="0" applyFont="1" applyFill="1" applyBorder="1" applyAlignment="1">
      <alignment horizontal="right" wrapText="1"/>
    </xf>
    <xf numFmtId="0" fontId="0" fillId="6" borderId="7" xfId="0" applyFill="1" applyBorder="1"/>
    <xf numFmtId="2" fontId="0" fillId="6" borderId="8" xfId="0" applyNumberFormat="1" applyFill="1" applyBorder="1"/>
    <xf numFmtId="0" fontId="10" fillId="5" borderId="5" xfId="0" applyFont="1" applyFill="1" applyBorder="1"/>
    <xf numFmtId="0" fontId="0" fillId="2" borderId="16" xfId="0" applyFill="1" applyBorder="1"/>
    <xf numFmtId="0" fontId="10" fillId="5" borderId="3" xfId="0" applyFont="1" applyFill="1" applyBorder="1"/>
    <xf numFmtId="0" fontId="5" fillId="5" borderId="15" xfId="0" applyFont="1" applyFill="1" applyBorder="1" applyAlignment="1">
      <alignment wrapText="1"/>
    </xf>
    <xf numFmtId="0" fontId="12" fillId="5" borderId="0" xfId="0" applyFont="1" applyFill="1" applyBorder="1"/>
    <xf numFmtId="0" fontId="16" fillId="5" borderId="0" xfId="0" applyFont="1" applyFill="1" applyBorder="1"/>
    <xf numFmtId="2" fontId="10" fillId="5" borderId="3" xfId="0" applyNumberFormat="1" applyFont="1" applyFill="1" applyBorder="1"/>
    <xf numFmtId="2" fontId="10" fillId="5" borderId="5" xfId="0" applyNumberFormat="1" applyFont="1" applyFill="1" applyBorder="1"/>
    <xf numFmtId="0" fontId="0" fillId="4" borderId="6" xfId="0" applyFill="1" applyBorder="1"/>
    <xf numFmtId="0" fontId="0" fillId="6" borderId="6" xfId="0" applyFill="1" applyBorder="1"/>
    <xf numFmtId="0" fontId="0" fillId="4" borderId="8" xfId="0" applyFill="1" applyBorder="1"/>
    <xf numFmtId="0" fontId="0" fillId="4" borderId="7" xfId="0" applyFill="1" applyBorder="1" applyAlignment="1">
      <alignment horizontal="right"/>
    </xf>
    <xf numFmtId="0" fontId="0" fillId="2" borderId="17" xfId="0" applyNumberFormat="1" applyFill="1" applyBorder="1"/>
    <xf numFmtId="0" fontId="0" fillId="2" borderId="11" xfId="0" applyNumberFormat="1" applyFont="1" applyFill="1" applyBorder="1"/>
    <xf numFmtId="0" fontId="0" fillId="4" borderId="0" xfId="0" applyFont="1" applyFill="1" applyBorder="1" applyAlignment="1">
      <alignment horizontal="right" wrapText="1"/>
    </xf>
    <xf numFmtId="0" fontId="0" fillId="4" borderId="0" xfId="0" applyFill="1" applyBorder="1"/>
    <xf numFmtId="2" fontId="0" fillId="4" borderId="5" xfId="0" applyNumberFormat="1" applyFill="1" applyBorder="1"/>
    <xf numFmtId="0" fontId="0" fillId="0" borderId="0" xfId="0" applyFill="1"/>
    <xf numFmtId="0" fontId="0" fillId="5" borderId="10" xfId="0" applyFill="1" applyBorder="1"/>
    <xf numFmtId="0" fontId="10" fillId="7" borderId="18" xfId="0" applyFont="1" applyFill="1" applyBorder="1" applyAlignment="1">
      <alignment horizontal="left" vertical="center" wrapText="1"/>
    </xf>
    <xf numFmtId="0" fontId="10" fillId="0" borderId="18" xfId="0" applyFont="1" applyBorder="1"/>
    <xf numFmtId="0" fontId="10" fillId="0" borderId="0" xfId="0" applyFont="1" applyAlignment="1">
      <alignment horizontal="left" vertical="center" indent="1"/>
    </xf>
    <xf numFmtId="0" fontId="0" fillId="0" borderId="0" xfId="0" applyAlignment="1">
      <alignment horizontal="left" vertical="center" indent="1"/>
    </xf>
    <xf numFmtId="0" fontId="25" fillId="0" borderId="0" xfId="0" applyFont="1" applyAlignment="1">
      <alignment vertical="center"/>
    </xf>
    <xf numFmtId="0" fontId="0" fillId="0" borderId="0" xfId="0" applyBorder="1"/>
    <xf numFmtId="0" fontId="10" fillId="0" borderId="18" xfId="0" applyFont="1" applyFill="1" applyBorder="1"/>
    <xf numFmtId="0" fontId="0" fillId="2" borderId="9" xfId="0" quotePrefix="1" applyNumberFormat="1" applyFill="1" applyBorder="1"/>
    <xf numFmtId="165" fontId="0" fillId="5" borderId="5" xfId="0" applyNumberFormat="1" applyFill="1" applyBorder="1"/>
    <xf numFmtId="0" fontId="0" fillId="5" borderId="5" xfId="0" applyNumberFormat="1" applyFont="1" applyFill="1" applyBorder="1"/>
    <xf numFmtId="0" fontId="0" fillId="6" borderId="0" xfId="0" applyFont="1" applyFill="1" applyBorder="1" applyAlignment="1">
      <alignment horizontal="right" wrapText="1"/>
    </xf>
    <xf numFmtId="0" fontId="0" fillId="6" borderId="0" xfId="0" applyFill="1" applyBorder="1"/>
    <xf numFmtId="2" fontId="0" fillId="6" borderId="5" xfId="0" applyNumberFormat="1" applyFill="1" applyBorder="1"/>
    <xf numFmtId="2" fontId="0" fillId="5" borderId="5" xfId="0" applyNumberFormat="1" applyFont="1" applyFill="1" applyBorder="1"/>
    <xf numFmtId="10" fontId="10" fillId="5" borderId="5" xfId="0" applyNumberFormat="1" applyFont="1" applyFill="1" applyBorder="1"/>
    <xf numFmtId="166" fontId="10" fillId="5" borderId="5" xfId="0" applyNumberFormat="1" applyFont="1" applyFill="1" applyBorder="1"/>
    <xf numFmtId="10" fontId="10" fillId="5" borderId="12" xfId="0" applyNumberFormat="1" applyFont="1" applyFill="1" applyBorder="1"/>
    <xf numFmtId="0" fontId="0" fillId="2" borderId="10" xfId="0" applyFill="1" applyBorder="1"/>
    <xf numFmtId="0" fontId="10" fillId="5" borderId="9" xfId="0" applyNumberFormat="1" applyFont="1" applyFill="1" applyBorder="1"/>
    <xf numFmtId="0" fontId="0" fillId="0" borderId="18" xfId="0" applyBorder="1"/>
    <xf numFmtId="0" fontId="10" fillId="8" borderId="18" xfId="0" applyFont="1" applyFill="1" applyBorder="1"/>
    <xf numFmtId="0" fontId="0" fillId="0" borderId="20" xfId="0" applyFill="1" applyBorder="1" applyAlignment="1">
      <alignment horizontal="left" vertical="center" wrapText="1"/>
    </xf>
    <xf numFmtId="10" fontId="0" fillId="0" borderId="18" xfId="0" applyNumberFormat="1" applyFont="1" applyBorder="1" applyAlignment="1">
      <alignment horizontal="left" vertical="center" indent="1"/>
    </xf>
    <xf numFmtId="10" fontId="0" fillId="0" borderId="18" xfId="0" applyNumberFormat="1" applyFill="1" applyBorder="1" applyAlignment="1">
      <alignment horizontal="left" vertical="center" indent="1"/>
    </xf>
    <xf numFmtId="166" fontId="0" fillId="0" borderId="18" xfId="0" applyNumberFormat="1" applyBorder="1"/>
    <xf numFmtId="10" fontId="0" fillId="5" borderId="5" xfId="0" applyNumberFormat="1" applyFill="1" applyBorder="1"/>
    <xf numFmtId="0" fontId="0" fillId="4" borderId="4" xfId="0" applyFill="1" applyBorder="1"/>
    <xf numFmtId="0" fontId="0" fillId="6" borderId="4" xfId="0" applyFill="1" applyBorder="1"/>
    <xf numFmtId="0" fontId="0" fillId="3" borderId="0" xfId="0" applyFont="1" applyFill="1" applyBorder="1"/>
    <xf numFmtId="0" fontId="0" fillId="3" borderId="1" xfId="0" applyFont="1" applyFill="1" applyBorder="1"/>
    <xf numFmtId="0" fontId="0" fillId="3" borderId="2" xfId="0" applyFont="1" applyFill="1" applyBorder="1"/>
    <xf numFmtId="0" fontId="0" fillId="3" borderId="4" xfId="0" applyFont="1" applyFill="1" applyBorder="1"/>
    <xf numFmtId="0" fontId="0" fillId="3" borderId="6" xfId="0" applyFont="1" applyFill="1" applyBorder="1"/>
    <xf numFmtId="0" fontId="0" fillId="3" borderId="7" xfId="0" applyFont="1" applyFill="1" applyBorder="1"/>
    <xf numFmtId="0" fontId="10" fillId="0" borderId="18" xfId="0" applyFont="1" applyBorder="1" applyAlignment="1">
      <alignment horizontal="center" vertical="center" wrapText="1"/>
    </xf>
    <xf numFmtId="0" fontId="10" fillId="0" borderId="18" xfId="0" applyFont="1" applyBorder="1" applyAlignment="1">
      <alignment horizontal="right" vertical="center" wrapText="1"/>
    </xf>
    <xf numFmtId="0" fontId="0" fillId="0" borderId="18" xfId="0" applyBorder="1" applyAlignment="1">
      <alignment vertical="center" wrapText="1"/>
    </xf>
    <xf numFmtId="0" fontId="0" fillId="0" borderId="18" xfId="0" applyFont="1" applyBorder="1" applyAlignment="1">
      <alignment horizontal="right" vertical="center" wrapText="1"/>
    </xf>
    <xf numFmtId="0" fontId="0" fillId="0" borderId="18" xfId="0"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6" xfId="0" applyFont="1" applyFill="1" applyBorder="1" applyAlignment="1">
      <alignment horizontal="center" vertical="center" wrapText="1"/>
    </xf>
    <xf numFmtId="164" fontId="0" fillId="0" borderId="19" xfId="0" applyNumberFormat="1" applyFill="1" applyBorder="1" applyAlignment="1">
      <alignment horizontal="center" vertical="center" wrapText="1"/>
    </xf>
    <xf numFmtId="164" fontId="0" fillId="0" borderId="6" xfId="0" applyNumberFormat="1" applyFill="1" applyBorder="1" applyAlignment="1">
      <alignment horizontal="center" vertical="center" wrapText="1"/>
    </xf>
    <xf numFmtId="164" fontId="0" fillId="0" borderId="6" xfId="0" applyNumberFormat="1" applyFill="1" applyBorder="1"/>
    <xf numFmtId="0" fontId="10" fillId="0" borderId="14" xfId="0" applyFont="1" applyFill="1" applyBorder="1" applyAlignment="1">
      <alignment horizontal="left" vertical="center" wrapText="1"/>
    </xf>
    <xf numFmtId="164" fontId="0" fillId="0" borderId="18" xfId="0" applyNumberFormat="1" applyFill="1" applyBorder="1" applyAlignment="1">
      <alignment horizontal="center" vertical="center" wrapText="1"/>
    </xf>
    <xf numFmtId="164" fontId="0" fillId="0" borderId="13" xfId="0" applyNumberFormat="1" applyFill="1" applyBorder="1" applyAlignment="1">
      <alignment horizontal="center" vertical="center" wrapText="1"/>
    </xf>
    <xf numFmtId="164" fontId="0" fillId="0" borderId="13" xfId="0" applyNumberFormat="1" applyFill="1" applyBorder="1"/>
    <xf numFmtId="0" fontId="10" fillId="0" borderId="3" xfId="0" applyFont="1" applyFill="1" applyBorder="1" applyAlignment="1">
      <alignment horizontal="left" vertical="center" wrapText="1"/>
    </xf>
    <xf numFmtId="164" fontId="0" fillId="0" borderId="20" xfId="0" applyNumberFormat="1" applyFill="1" applyBorder="1" applyAlignment="1">
      <alignment horizontal="center" vertical="center" wrapText="1"/>
    </xf>
    <xf numFmtId="164" fontId="0" fillId="0" borderId="1" xfId="0" applyNumberFormat="1" applyFill="1" applyBorder="1" applyAlignment="1">
      <alignment horizontal="center" vertical="center" wrapText="1"/>
    </xf>
    <xf numFmtId="164" fontId="0" fillId="0" borderId="1" xfId="0" applyNumberFormat="1" applyFill="1" applyBorder="1"/>
    <xf numFmtId="164" fontId="0" fillId="0" borderId="4" xfId="0" applyNumberFormat="1" applyFill="1" applyBorder="1"/>
    <xf numFmtId="0" fontId="0" fillId="0" borderId="5" xfId="0" applyBorder="1"/>
    <xf numFmtId="2" fontId="10" fillId="5" borderId="0" xfId="0" applyNumberFormat="1" applyFont="1" applyFill="1" applyBorder="1"/>
    <xf numFmtId="0" fontId="27" fillId="5" borderId="0" xfId="0" applyFont="1" applyFill="1" applyBorder="1"/>
    <xf numFmtId="0" fontId="0" fillId="12" borderId="0" xfId="0" applyFill="1" applyBorder="1"/>
    <xf numFmtId="0" fontId="0" fillId="12" borderId="7" xfId="0" applyFill="1" applyBorder="1"/>
    <xf numFmtId="2" fontId="10" fillId="12" borderId="0" xfId="0" applyNumberFormat="1" applyFont="1" applyFill="1" applyBorder="1"/>
    <xf numFmtId="0" fontId="9" fillId="12" borderId="0" xfId="0" applyFont="1" applyFill="1" applyBorder="1"/>
    <xf numFmtId="0" fontId="9" fillId="12" borderId="7" xfId="0" applyFont="1" applyFill="1" applyBorder="1"/>
    <xf numFmtId="0" fontId="0" fillId="5" borderId="0" xfId="0" applyFill="1" applyBorder="1" applyAlignment="1">
      <alignment horizontal="left" vertical="center"/>
    </xf>
    <xf numFmtId="0" fontId="0" fillId="5" borderId="0" xfId="0" applyFill="1" applyBorder="1" applyAlignment="1">
      <alignment horizontal="left" vertical="center" indent="1"/>
    </xf>
    <xf numFmtId="0" fontId="0" fillId="5" borderId="0" xfId="0" applyFill="1" applyBorder="1" applyAlignment="1">
      <alignment horizontal="left"/>
    </xf>
    <xf numFmtId="0" fontId="0" fillId="5" borderId="21" xfId="0" applyFill="1" applyBorder="1"/>
    <xf numFmtId="0" fontId="0" fillId="5" borderId="22" xfId="0" applyFill="1" applyBorder="1"/>
    <xf numFmtId="0" fontId="0" fillId="5" borderId="22" xfId="0" applyFill="1" applyBorder="1" applyAlignment="1">
      <alignment wrapText="1"/>
    </xf>
    <xf numFmtId="0" fontId="0" fillId="5" borderId="23" xfId="0" applyFill="1" applyBorder="1"/>
    <xf numFmtId="0" fontId="0" fillId="5" borderId="24" xfId="0" applyFill="1" applyBorder="1"/>
    <xf numFmtId="0" fontId="0" fillId="5" borderId="25" xfId="0" applyFill="1" applyBorder="1"/>
    <xf numFmtId="0" fontId="0" fillId="5" borderId="26" xfId="0" applyFill="1" applyBorder="1"/>
    <xf numFmtId="0" fontId="0" fillId="5" borderId="27" xfId="0" applyFill="1" applyBorder="1" applyAlignment="1">
      <alignment horizontal="left"/>
    </xf>
    <xf numFmtId="0" fontId="0" fillId="5" borderId="27" xfId="0" applyFill="1" applyBorder="1"/>
    <xf numFmtId="0" fontId="0" fillId="5" borderId="28" xfId="0" applyFill="1" applyBorder="1"/>
    <xf numFmtId="0" fontId="0" fillId="5" borderId="25" xfId="0" applyFill="1" applyBorder="1" applyAlignment="1"/>
    <xf numFmtId="0" fontId="0" fillId="5" borderId="25" xfId="0" applyFill="1" applyBorder="1" applyAlignment="1">
      <alignment wrapText="1"/>
    </xf>
    <xf numFmtId="0" fontId="0" fillId="5" borderId="27" xfId="0" applyFont="1" applyFill="1" applyBorder="1" applyAlignment="1">
      <alignment horizontal="right" wrapText="1"/>
    </xf>
    <xf numFmtId="2" fontId="0" fillId="5" borderId="27" xfId="0" applyNumberFormat="1" applyFill="1" applyBorder="1"/>
    <xf numFmtId="0" fontId="0" fillId="5" borderId="29" xfId="0" applyFill="1" applyBorder="1"/>
    <xf numFmtId="0" fontId="29" fillId="5" borderId="1" xfId="0" applyFont="1" applyFill="1" applyBorder="1" applyAlignment="1">
      <alignment vertical="center"/>
    </xf>
    <xf numFmtId="0" fontId="10" fillId="5" borderId="4" xfId="0" applyFont="1" applyFill="1" applyBorder="1" applyAlignment="1">
      <alignment vertical="center"/>
    </xf>
    <xf numFmtId="0" fontId="0" fillId="5" borderId="4" xfId="0" applyFill="1" applyBorder="1" applyAlignment="1">
      <alignment vertical="center"/>
    </xf>
    <xf numFmtId="0" fontId="10" fillId="5" borderId="4" xfId="0" applyFont="1" applyFill="1" applyBorder="1" applyAlignment="1"/>
    <xf numFmtId="0" fontId="29" fillId="5" borderId="4" xfId="0" applyFont="1" applyFill="1" applyBorder="1" applyAlignment="1">
      <alignment vertical="center"/>
    </xf>
    <xf numFmtId="0" fontId="10" fillId="5" borderId="4" xfId="0" applyFont="1" applyFill="1" applyBorder="1" applyAlignment="1">
      <alignment horizontal="left" vertical="center"/>
    </xf>
    <xf numFmtId="0" fontId="10" fillId="5" borderId="4" xfId="0" applyFont="1" applyFill="1" applyBorder="1" applyAlignment="1">
      <alignment horizontal="left"/>
    </xf>
    <xf numFmtId="0" fontId="0" fillId="5" borderId="4" xfId="0" applyFill="1" applyBorder="1" applyAlignment="1">
      <alignment horizontal="left"/>
    </xf>
    <xf numFmtId="0" fontId="10" fillId="5" borderId="6" xfId="0" applyFont="1" applyFill="1" applyBorder="1" applyAlignment="1">
      <alignment horizontal="left"/>
    </xf>
    <xf numFmtId="0" fontId="9" fillId="5" borderId="8" xfId="0" applyFont="1" applyFill="1" applyBorder="1"/>
    <xf numFmtId="2" fontId="0" fillId="12" borderId="5" xfId="0" applyNumberFormat="1" applyFont="1" applyFill="1" applyBorder="1"/>
    <xf numFmtId="0" fontId="17" fillId="11" borderId="0" xfId="0" applyFont="1" applyFill="1" applyBorder="1" applyAlignment="1">
      <alignment horizontal="center"/>
    </xf>
    <xf numFmtId="167" fontId="10" fillId="5" borderId="5" xfId="0" applyNumberFormat="1" applyFont="1" applyFill="1" applyBorder="1"/>
    <xf numFmtId="0" fontId="19" fillId="5" borderId="30" xfId="0" applyFont="1" applyFill="1" applyBorder="1" applyAlignment="1">
      <alignment vertical="center"/>
    </xf>
    <xf numFmtId="0" fontId="19" fillId="5" borderId="31" xfId="0" applyFont="1" applyFill="1" applyBorder="1" applyAlignment="1">
      <alignment vertical="center"/>
    </xf>
    <xf numFmtId="0" fontId="19" fillId="5" borderId="32" xfId="0" applyFont="1" applyFill="1" applyBorder="1" applyAlignment="1">
      <alignment vertical="center"/>
    </xf>
    <xf numFmtId="0" fontId="19" fillId="5" borderId="33" xfId="0" applyFont="1" applyFill="1" applyBorder="1" applyAlignment="1">
      <alignment vertical="center"/>
    </xf>
    <xf numFmtId="0" fontId="19" fillId="5" borderId="0" xfId="0" applyFont="1" applyFill="1" applyBorder="1" applyAlignment="1">
      <alignment vertical="center"/>
    </xf>
    <xf numFmtId="0" fontId="19" fillId="5" borderId="34" xfId="0" applyFont="1" applyFill="1" applyBorder="1" applyAlignment="1">
      <alignment vertical="center"/>
    </xf>
    <xf numFmtId="0" fontId="19" fillId="5" borderId="35" xfId="0" applyFont="1" applyFill="1" applyBorder="1" applyAlignment="1">
      <alignment vertical="center"/>
    </xf>
    <xf numFmtId="0" fontId="19" fillId="5" borderId="36" xfId="0" applyFont="1" applyFill="1" applyBorder="1" applyAlignment="1">
      <alignment vertical="center"/>
    </xf>
    <xf numFmtId="0" fontId="19" fillId="5" borderId="37" xfId="0" applyFont="1" applyFill="1" applyBorder="1" applyAlignment="1">
      <alignment vertical="center"/>
    </xf>
    <xf numFmtId="0" fontId="0" fillId="5" borderId="0" xfId="0" applyFill="1"/>
    <xf numFmtId="0" fontId="0" fillId="5" borderId="5" xfId="0" applyNumberFormat="1" applyFill="1" applyBorder="1"/>
    <xf numFmtId="0" fontId="0" fillId="5" borderId="0" xfId="0" applyFill="1" applyAlignment="1">
      <alignment wrapText="1"/>
    </xf>
    <xf numFmtId="0" fontId="0" fillId="0" borderId="14" xfId="0" applyBorder="1"/>
    <xf numFmtId="0" fontId="0" fillId="0" borderId="39" xfId="0" applyBorder="1"/>
    <xf numFmtId="0" fontId="0" fillId="0" borderId="40" xfId="0" applyBorder="1"/>
    <xf numFmtId="0" fontId="0" fillId="0" borderId="43" xfId="0" applyBorder="1"/>
    <xf numFmtId="0" fontId="0" fillId="0" borderId="44" xfId="0" applyBorder="1"/>
    <xf numFmtId="0" fontId="0" fillId="0" borderId="45" xfId="0" applyBorder="1"/>
    <xf numFmtId="0" fontId="10" fillId="0" borderId="46" xfId="0" applyFont="1" applyBorder="1"/>
    <xf numFmtId="0" fontId="10" fillId="12" borderId="41" xfId="0" applyFont="1" applyFill="1" applyBorder="1"/>
    <xf numFmtId="0" fontId="10" fillId="10" borderId="38" xfId="0" applyFont="1" applyFill="1" applyBorder="1"/>
    <xf numFmtId="0" fontId="10" fillId="13" borderId="42" xfId="0" applyFont="1" applyFill="1" applyBorder="1"/>
    <xf numFmtId="0" fontId="10" fillId="12" borderId="47" xfId="0" applyFont="1" applyFill="1" applyBorder="1"/>
    <xf numFmtId="0" fontId="0" fillId="0" borderId="48" xfId="0" applyBorder="1"/>
    <xf numFmtId="0" fontId="0" fillId="0" borderId="49" xfId="0" applyBorder="1"/>
    <xf numFmtId="0" fontId="0" fillId="0" borderId="51" xfId="0" applyBorder="1"/>
    <xf numFmtId="0" fontId="10" fillId="13" borderId="50" xfId="0" applyFont="1" applyFill="1" applyBorder="1"/>
    <xf numFmtId="165" fontId="0" fillId="5" borderId="12" xfId="0" applyNumberFormat="1" applyFill="1" applyBorder="1"/>
    <xf numFmtId="167" fontId="10" fillId="5" borderId="12" xfId="0" applyNumberFormat="1" applyFont="1" applyFill="1" applyBorder="1"/>
    <xf numFmtId="0" fontId="0" fillId="0" borderId="0" xfId="0" applyFont="1" applyBorder="1" applyAlignment="1">
      <alignment horizontal="right" vertical="center" wrapText="1"/>
    </xf>
    <xf numFmtId="10" fontId="10" fillId="14" borderId="18" xfId="0" applyNumberFormat="1" applyFont="1" applyFill="1" applyBorder="1" applyAlignment="1">
      <alignment horizontal="left" vertical="center" indent="1"/>
    </xf>
    <xf numFmtId="0" fontId="10" fillId="10" borderId="18" xfId="0" applyFont="1" applyFill="1" applyBorder="1"/>
    <xf numFmtId="0" fontId="10" fillId="0" borderId="18" xfId="0" applyFont="1" applyFill="1" applyBorder="1" applyAlignment="1">
      <alignment vertical="center" wrapText="1"/>
    </xf>
    <xf numFmtId="2" fontId="20" fillId="5" borderId="5" xfId="0" applyNumberFormat="1" applyFont="1" applyFill="1" applyBorder="1"/>
    <xf numFmtId="10" fontId="0" fillId="0" borderId="20" xfId="0" applyNumberFormat="1" applyBorder="1" applyAlignment="1">
      <alignment horizontal="left" vertical="center" indent="1"/>
    </xf>
    <xf numFmtId="166" fontId="0" fillId="0" borderId="20" xfId="0" applyNumberFormat="1" applyBorder="1"/>
    <xf numFmtId="10" fontId="0" fillId="0" borderId="2" xfId="0" applyNumberFormat="1" applyFill="1" applyBorder="1" applyAlignment="1">
      <alignment horizontal="left" vertical="center" indent="1"/>
    </xf>
    <xf numFmtId="166" fontId="0" fillId="0" borderId="2" xfId="0" applyNumberFormat="1" applyBorder="1"/>
    <xf numFmtId="0" fontId="0" fillId="0" borderId="52" xfId="0" applyBorder="1"/>
    <xf numFmtId="0" fontId="0" fillId="2" borderId="53" xfId="0" applyFill="1" applyBorder="1"/>
    <xf numFmtId="1" fontId="10" fillId="5" borderId="5" xfId="0" applyNumberFormat="1" applyFont="1" applyFill="1" applyBorder="1"/>
    <xf numFmtId="0" fontId="10"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18" xfId="0" applyBorder="1" applyAlignment="1">
      <alignment horizontal="right"/>
    </xf>
    <xf numFmtId="0" fontId="10" fillId="0" borderId="0" xfId="0" applyFont="1"/>
    <xf numFmtId="10" fontId="0" fillId="0" borderId="0" xfId="0" applyNumberFormat="1" applyAlignment="1">
      <alignment horizontal="center"/>
    </xf>
    <xf numFmtId="10" fontId="0" fillId="0" borderId="0" xfId="0" applyNumberFormat="1" applyAlignment="1">
      <alignment horizontal="center" vertical="center"/>
    </xf>
    <xf numFmtId="0" fontId="0" fillId="0" borderId="0" xfId="0" applyBorder="1" applyAlignment="1">
      <alignment wrapText="1"/>
    </xf>
    <xf numFmtId="0" fontId="0" fillId="3" borderId="0" xfId="0" applyFill="1" applyBorder="1"/>
    <xf numFmtId="0" fontId="0" fillId="3" borderId="7" xfId="0" applyFill="1" applyBorder="1"/>
    <xf numFmtId="0" fontId="0" fillId="3" borderId="2" xfId="0" applyFill="1" applyBorder="1"/>
    <xf numFmtId="2" fontId="10" fillId="12" borderId="5" xfId="0" applyNumberFormat="1" applyFont="1" applyFill="1" applyBorder="1"/>
    <xf numFmtId="2" fontId="10" fillId="12" borderId="8" xfId="0" applyNumberFormat="1" applyFont="1" applyFill="1" applyBorder="1"/>
    <xf numFmtId="2" fontId="10" fillId="14" borderId="5" xfId="0" applyNumberFormat="1" applyFont="1" applyFill="1" applyBorder="1"/>
    <xf numFmtId="2" fontId="10" fillId="14" borderId="8" xfId="0" applyNumberFormat="1" applyFont="1" applyFill="1" applyBorder="1"/>
    <xf numFmtId="2" fontId="10" fillId="16" borderId="3" xfId="0" applyNumberFormat="1" applyFont="1" applyFill="1" applyBorder="1"/>
    <xf numFmtId="2" fontId="10" fillId="16" borderId="5" xfId="0" applyNumberFormat="1" applyFont="1" applyFill="1" applyBorder="1"/>
    <xf numFmtId="2" fontId="10" fillId="16" borderId="8" xfId="0" applyNumberFormat="1" applyFont="1" applyFill="1" applyBorder="1"/>
    <xf numFmtId="0" fontId="0" fillId="2" borderId="3" xfId="0" applyNumberFormat="1" applyFill="1" applyBorder="1"/>
    <xf numFmtId="0" fontId="0" fillId="2" borderId="11" xfId="0" applyNumberFormat="1" applyFill="1" applyBorder="1"/>
    <xf numFmtId="2" fontId="0" fillId="2" borderId="18" xfId="0" applyNumberFormat="1" applyFont="1" applyFill="1" applyBorder="1" applyAlignment="1">
      <alignment horizontal="right" vertical="center"/>
    </xf>
    <xf numFmtId="2" fontId="10" fillId="2" borderId="18" xfId="0" applyNumberFormat="1" applyFont="1" applyFill="1" applyBorder="1" applyAlignment="1">
      <alignment horizontal="right" vertical="center"/>
    </xf>
    <xf numFmtId="0" fontId="33" fillId="18" borderId="54" xfId="0" applyFont="1" applyFill="1" applyBorder="1" applyAlignment="1">
      <alignment horizontal="left" vertical="center" indent="5"/>
    </xf>
    <xf numFmtId="0" fontId="0" fillId="0" borderId="0" xfId="0" applyFill="1" applyAlignment="1">
      <alignment wrapText="1"/>
    </xf>
    <xf numFmtId="0" fontId="0" fillId="0" borderId="0" xfId="0" applyFill="1" applyBorder="1" applyAlignment="1">
      <alignment wrapText="1"/>
    </xf>
    <xf numFmtId="0" fontId="5" fillId="0" borderId="0" xfId="0" applyFont="1" applyFill="1" applyBorder="1" applyAlignment="1">
      <alignment wrapText="1"/>
    </xf>
    <xf numFmtId="0" fontId="5" fillId="0" borderId="0" xfId="0" applyFont="1" applyFill="1" applyBorder="1" applyAlignment="1">
      <alignment horizontal="right" wrapText="1"/>
    </xf>
    <xf numFmtId="0" fontId="0" fillId="2" borderId="18" xfId="0" applyFill="1" applyBorder="1"/>
    <xf numFmtId="0" fontId="17" fillId="0" borderId="0" xfId="0" applyFont="1" applyFill="1" applyBorder="1" applyAlignment="1">
      <alignment horizontal="center"/>
    </xf>
    <xf numFmtId="0" fontId="13" fillId="0" borderId="0" xfId="0" applyFont="1" applyFill="1" applyBorder="1" applyAlignment="1">
      <alignment wrapText="1"/>
    </xf>
    <xf numFmtId="165" fontId="0" fillId="0" borderId="0" xfId="0" applyNumberFormat="1" applyFill="1" applyBorder="1"/>
    <xf numFmtId="0" fontId="0" fillId="0" borderId="0" xfId="0" applyNumberFormat="1" applyFill="1" applyBorder="1"/>
    <xf numFmtId="0" fontId="10" fillId="0" borderId="0" xfId="0" applyNumberFormat="1" applyFont="1" applyFill="1" applyBorder="1"/>
    <xf numFmtId="0" fontId="21" fillId="0" borderId="0" xfId="0" applyFont="1" applyFill="1" applyBorder="1" applyAlignment="1">
      <alignment wrapText="1"/>
    </xf>
    <xf numFmtId="0" fontId="17" fillId="0" borderId="0" xfId="0" applyFont="1" applyFill="1" applyBorder="1" applyAlignment="1"/>
    <xf numFmtId="0" fontId="26" fillId="0" borderId="0" xfId="0" applyFont="1" applyFill="1" applyBorder="1" applyAlignment="1"/>
    <xf numFmtId="0" fontId="5" fillId="0" borderId="0" xfId="0" applyFont="1" applyFill="1" applyBorder="1"/>
    <xf numFmtId="0" fontId="0" fillId="2" borderId="18" xfId="0" applyFont="1" applyFill="1" applyBorder="1" applyAlignment="1">
      <alignment wrapText="1"/>
    </xf>
    <xf numFmtId="0" fontId="0" fillId="2" borderId="18" xfId="0" applyFill="1" applyBorder="1" applyAlignment="1">
      <alignment wrapText="1"/>
    </xf>
    <xf numFmtId="0" fontId="11" fillId="0" borderId="0" xfId="0" applyFont="1" applyFill="1" applyBorder="1"/>
    <xf numFmtId="0" fontId="9" fillId="2" borderId="18" xfId="0" applyFont="1" applyFill="1" applyBorder="1" applyAlignment="1">
      <alignment wrapText="1"/>
    </xf>
    <xf numFmtId="0" fontId="9" fillId="2" borderId="18" xfId="0" applyFont="1" applyFill="1" applyBorder="1"/>
    <xf numFmtId="167" fontId="10" fillId="0" borderId="0" xfId="0" applyNumberFormat="1" applyFont="1" applyFill="1" applyBorder="1"/>
    <xf numFmtId="0" fontId="32" fillId="0" borderId="0" xfId="0" applyFont="1" applyFill="1" applyBorder="1"/>
    <xf numFmtId="0" fontId="0" fillId="0" borderId="0" xfId="0" applyFont="1" applyFill="1" applyBorder="1"/>
    <xf numFmtId="0" fontId="0" fillId="2" borderId="18" xfId="0" applyFont="1" applyFill="1" applyBorder="1"/>
    <xf numFmtId="0" fontId="5" fillId="0" borderId="0" xfId="0" applyFont="1" applyFill="1" applyBorder="1" applyAlignment="1">
      <alignment horizontal="right" vertical="center" wrapText="1"/>
    </xf>
    <xf numFmtId="0" fontId="0" fillId="0" borderId="0" xfId="0" applyFill="1" applyBorder="1" applyAlignment="1">
      <alignment horizontal="right" vertical="center"/>
    </xf>
    <xf numFmtId="2" fontId="10" fillId="0" borderId="0" xfId="0" applyNumberFormat="1" applyFont="1" applyFill="1" applyBorder="1" applyAlignment="1">
      <alignment horizontal="right" vertical="center"/>
    </xf>
    <xf numFmtId="0" fontId="0" fillId="20" borderId="18" xfId="0" applyFont="1" applyFill="1" applyBorder="1"/>
    <xf numFmtId="0" fontId="0" fillId="20" borderId="18" xfId="0" applyFill="1" applyBorder="1"/>
    <xf numFmtId="0" fontId="9" fillId="20" borderId="18" xfId="0" applyFont="1" applyFill="1" applyBorder="1"/>
    <xf numFmtId="0" fontId="0" fillId="7" borderId="18" xfId="0" applyFill="1" applyBorder="1" applyProtection="1">
      <protection locked="0"/>
    </xf>
    <xf numFmtId="0" fontId="9" fillId="7" borderId="18" xfId="0" applyNumberFormat="1" applyFont="1" applyFill="1" applyBorder="1" applyProtection="1">
      <protection locked="0"/>
    </xf>
    <xf numFmtId="0" fontId="0" fillId="7" borderId="18" xfId="0" applyNumberFormat="1" applyFill="1" applyBorder="1" applyProtection="1">
      <protection locked="0"/>
    </xf>
    <xf numFmtId="0" fontId="0" fillId="7" borderId="18" xfId="0" applyNumberFormat="1" applyFont="1" applyFill="1" applyBorder="1" applyProtection="1">
      <protection locked="0"/>
    </xf>
    <xf numFmtId="0" fontId="0" fillId="7" borderId="18" xfId="0" quotePrefix="1" applyNumberFormat="1" applyFill="1" applyBorder="1" applyProtection="1">
      <protection locked="0"/>
    </xf>
    <xf numFmtId="0" fontId="0" fillId="2" borderId="13" xfId="0" applyFill="1" applyBorder="1" applyAlignment="1">
      <alignment wrapText="1"/>
    </xf>
    <xf numFmtId="0" fontId="26" fillId="9" borderId="0" xfId="0" applyFont="1" applyFill="1" applyBorder="1" applyAlignment="1">
      <alignment horizontal="center"/>
    </xf>
    <xf numFmtId="2" fontId="0" fillId="12" borderId="5" xfId="0" applyNumberFormat="1" applyFill="1" applyBorder="1"/>
    <xf numFmtId="2" fontId="0" fillId="12" borderId="8" xfId="0" applyNumberFormat="1" applyFill="1" applyBorder="1"/>
    <xf numFmtId="0" fontId="0" fillId="21" borderId="1" xfId="0" applyFill="1" applyBorder="1"/>
    <xf numFmtId="0" fontId="0" fillId="21" borderId="2" xfId="0" applyFill="1" applyBorder="1"/>
    <xf numFmtId="165" fontId="10" fillId="21" borderId="3" xfId="0" applyNumberFormat="1" applyFont="1" applyFill="1" applyBorder="1"/>
    <xf numFmtId="0" fontId="0" fillId="21" borderId="4" xfId="0" applyFill="1" applyBorder="1"/>
    <xf numFmtId="0" fontId="0" fillId="21" borderId="0" xfId="0" applyFill="1"/>
    <xf numFmtId="165" fontId="10" fillId="21" borderId="5" xfId="0" applyNumberFormat="1" applyFont="1" applyFill="1" applyBorder="1"/>
    <xf numFmtId="0" fontId="0" fillId="21" borderId="6" xfId="0" applyFill="1" applyBorder="1"/>
    <xf numFmtId="0" fontId="0" fillId="21" borderId="7" xfId="0" applyFill="1" applyBorder="1"/>
    <xf numFmtId="165" fontId="10" fillId="21" borderId="8" xfId="0" applyNumberFormat="1" applyFont="1" applyFill="1" applyBorder="1"/>
    <xf numFmtId="0" fontId="0" fillId="5" borderId="0" xfId="0" applyFill="1" applyBorder="1" applyAlignment="1">
      <alignment vertical="center" wrapText="1"/>
    </xf>
    <xf numFmtId="0" fontId="0" fillId="5" borderId="5" xfId="0" applyFill="1" applyBorder="1" applyAlignment="1">
      <alignment vertical="center" wrapText="1"/>
    </xf>
    <xf numFmtId="0" fontId="0" fillId="5" borderId="58" xfId="0" applyFill="1" applyBorder="1"/>
    <xf numFmtId="0" fontId="0" fillId="2" borderId="14" xfId="0" applyFill="1" applyBorder="1" applyAlignment="1">
      <alignment wrapText="1"/>
    </xf>
    <xf numFmtId="0" fontId="0" fillId="9" borderId="0" xfId="0" applyFill="1"/>
    <xf numFmtId="0" fontId="34"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2" fillId="20" borderId="33" xfId="0" applyFont="1" applyFill="1" applyBorder="1" applyAlignment="1">
      <alignment horizontal="center" vertical="center"/>
    </xf>
    <xf numFmtId="0" fontId="20" fillId="20" borderId="0" xfId="0" applyFont="1" applyFill="1" applyBorder="1" applyAlignment="1">
      <alignment horizontal="center" vertical="center"/>
    </xf>
    <xf numFmtId="0" fontId="20" fillId="20" borderId="34" xfId="0" applyFont="1" applyFill="1" applyBorder="1" applyAlignment="1">
      <alignment horizontal="center" vertical="center"/>
    </xf>
    <xf numFmtId="0" fontId="38" fillId="2" borderId="35" xfId="0" applyFont="1" applyFill="1" applyBorder="1" applyAlignment="1">
      <alignment horizontal="center" vertical="center" wrapText="1"/>
    </xf>
    <xf numFmtId="0" fontId="39" fillId="2" borderId="36"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0" fillId="2" borderId="18" xfId="0" applyFill="1" applyBorder="1" applyAlignment="1"/>
    <xf numFmtId="0" fontId="0" fillId="2" borderId="13" xfId="0" applyFill="1" applyBorder="1" applyAlignment="1">
      <alignment wrapText="1"/>
    </xf>
    <xf numFmtId="0" fontId="0" fillId="0" borderId="14" xfId="0" applyBorder="1" applyAlignment="1">
      <alignment wrapText="1"/>
    </xf>
    <xf numFmtId="0" fontId="28" fillId="19" borderId="55" xfId="0" applyFont="1" applyFill="1" applyBorder="1" applyAlignment="1">
      <alignment horizontal="center"/>
    </xf>
    <xf numFmtId="0" fontId="0" fillId="19" borderId="57" xfId="0" applyFill="1" applyBorder="1" applyAlignment="1">
      <alignment horizontal="center"/>
    </xf>
    <xf numFmtId="0" fontId="0" fillId="19" borderId="56" xfId="0" applyFill="1" applyBorder="1" applyAlignment="1">
      <alignment horizontal="center"/>
    </xf>
    <xf numFmtId="0" fontId="36"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7" fillId="2" borderId="18" xfId="0" applyFont="1" applyFill="1" applyBorder="1" applyAlignment="1">
      <alignment horizontal="left" vertical="center" wrapText="1" indent="5"/>
    </xf>
    <xf numFmtId="0" fontId="37" fillId="2" borderId="13" xfId="0" applyFont="1" applyFill="1" applyBorder="1" applyAlignment="1">
      <alignment horizontal="left" vertical="center" wrapText="1" indent="5"/>
    </xf>
    <xf numFmtId="0" fontId="37" fillId="2" borderId="48" xfId="0" applyFont="1" applyFill="1" applyBorder="1" applyAlignment="1">
      <alignment horizontal="left" vertical="center" wrapText="1" indent="5"/>
    </xf>
    <xf numFmtId="0" fontId="37" fillId="2" borderId="14" xfId="0" applyFont="1" applyFill="1" applyBorder="1" applyAlignment="1">
      <alignment horizontal="left" vertical="center" wrapText="1" indent="5"/>
    </xf>
    <xf numFmtId="0" fontId="28" fillId="17" borderId="55" xfId="0" applyFont="1" applyFill="1" applyBorder="1" applyAlignment="1">
      <alignment horizontal="center"/>
    </xf>
    <xf numFmtId="0" fontId="0" fillId="17" borderId="57" xfId="0" applyFill="1" applyBorder="1" applyAlignment="1">
      <alignment horizontal="center"/>
    </xf>
    <xf numFmtId="0" fontId="0" fillId="17" borderId="56" xfId="0" applyFill="1" applyBorder="1" applyAlignment="1">
      <alignment horizontal="center"/>
    </xf>
    <xf numFmtId="0" fontId="31" fillId="17" borderId="55" xfId="0" applyFont="1" applyFill="1" applyBorder="1" applyAlignment="1">
      <alignment horizontal="center" wrapText="1"/>
    </xf>
    <xf numFmtId="0" fontId="31" fillId="17" borderId="57" xfId="0" applyFont="1" applyFill="1" applyBorder="1" applyAlignment="1">
      <alignment horizontal="center" wrapText="1"/>
    </xf>
    <xf numFmtId="0" fontId="31" fillId="17" borderId="56" xfId="0" applyFont="1" applyFill="1" applyBorder="1" applyAlignment="1">
      <alignment horizontal="center" wrapText="1"/>
    </xf>
    <xf numFmtId="0" fontId="31" fillId="17" borderId="55" xfId="0" applyFont="1" applyFill="1" applyBorder="1" applyAlignment="1">
      <alignment horizontal="center"/>
    </xf>
    <xf numFmtId="0" fontId="31" fillId="17" borderId="57" xfId="0" applyFont="1" applyFill="1" applyBorder="1" applyAlignment="1">
      <alignment horizontal="center"/>
    </xf>
    <xf numFmtId="0" fontId="31" fillId="17" borderId="56" xfId="0" applyFont="1" applyFill="1" applyBorder="1" applyAlignment="1">
      <alignment horizontal="center"/>
    </xf>
    <xf numFmtId="0" fontId="40" fillId="0" borderId="0" xfId="0" applyFont="1" applyFill="1" applyBorder="1" applyAlignment="1">
      <alignment horizontal="left" vertical="center" wrapText="1"/>
    </xf>
    <xf numFmtId="0" fontId="10" fillId="5" borderId="4" xfId="0" applyFont="1" applyFill="1" applyBorder="1" applyAlignment="1">
      <alignment horizontal="left" vertical="center"/>
    </xf>
    <xf numFmtId="0" fontId="10" fillId="5" borderId="0" xfId="0" applyFont="1" applyFill="1" applyBorder="1" applyAlignment="1">
      <alignment horizontal="left" vertical="center"/>
    </xf>
    <xf numFmtId="0" fontId="10" fillId="5" borderId="5" xfId="0" applyFont="1" applyFill="1" applyBorder="1" applyAlignment="1">
      <alignment horizontal="left" vertical="center"/>
    </xf>
    <xf numFmtId="0" fontId="10" fillId="5" borderId="4" xfId="0" applyFont="1" applyFill="1" applyBorder="1" applyAlignment="1">
      <alignment horizontal="left" vertical="top"/>
    </xf>
    <xf numFmtId="0" fontId="10" fillId="5" borderId="0" xfId="0" applyFont="1" applyFill="1" applyBorder="1" applyAlignment="1">
      <alignment horizontal="left" vertical="top"/>
    </xf>
    <xf numFmtId="0" fontId="10" fillId="5" borderId="5" xfId="0" applyFont="1" applyFill="1" applyBorder="1" applyAlignment="1">
      <alignment horizontal="left" vertical="top"/>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5" xfId="0" applyFill="1" applyBorder="1" applyAlignment="1">
      <alignment horizontal="left" vertical="center" wrapText="1"/>
    </xf>
    <xf numFmtId="0" fontId="28" fillId="11" borderId="0" xfId="0" applyFont="1" applyFill="1" applyBorder="1" applyAlignment="1">
      <alignment horizontal="center"/>
    </xf>
    <xf numFmtId="0" fontId="18" fillId="4" borderId="0" xfId="0" applyFont="1" applyFill="1" applyBorder="1" applyAlignment="1">
      <alignment horizontal="center" wrapText="1"/>
    </xf>
    <xf numFmtId="0" fontId="13" fillId="4" borderId="0" xfId="0" applyFont="1" applyFill="1" applyBorder="1" applyAlignment="1">
      <alignment horizontal="center" wrapText="1"/>
    </xf>
    <xf numFmtId="0" fontId="21" fillId="6" borderId="0" xfId="0" applyFont="1" applyFill="1" applyBorder="1" applyAlignment="1">
      <alignment horizontal="center" wrapText="1"/>
    </xf>
    <xf numFmtId="0" fontId="17" fillId="3" borderId="0" xfId="0" applyFont="1" applyFill="1" applyBorder="1" applyAlignment="1">
      <alignment horizontal="center"/>
    </xf>
    <xf numFmtId="0" fontId="10" fillId="14" borderId="18" xfId="0" applyFont="1" applyFill="1" applyBorder="1" applyAlignment="1">
      <alignment horizontal="center"/>
    </xf>
    <xf numFmtId="0" fontId="10" fillId="15" borderId="18" xfId="0" applyFont="1" applyFill="1" applyBorder="1" applyAlignment="1">
      <alignment horizontal="center" vertical="center" wrapText="1"/>
    </xf>
  </cellXfs>
  <cellStyles count="1">
    <cellStyle name="Normal" xfId="0" builtinId="0"/>
  </cellStyles>
  <dxfs count="21">
    <dxf>
      <numFmt numFmtId="164" formatCode="0.000%"/>
      <fill>
        <patternFill patternType="none">
          <fgColor indexed="64"/>
          <bgColor auto="1"/>
        </patternFill>
      </fill>
      <border diagonalUp="0" diagonalDown="0" outline="0">
        <left style="thin">
          <color indexed="64"/>
        </left>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auto="1"/>
        </right>
        <top style="thin">
          <color indexed="64"/>
        </top>
        <bottom style="thin">
          <color auto="1"/>
        </bottom>
      </border>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DE0000"/>
      <color rgb="FF568838"/>
      <color rgb="FFFF8585"/>
      <color rgb="FF9FFF9F"/>
      <color rgb="FF2201E9"/>
      <color rgb="FFFFFF4F"/>
      <color rgb="FF03E71E"/>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Nitrógeno</a:t>
            </a:r>
          </a:p>
        </c:rich>
      </c:tx>
      <c:layout>
        <c:manualLayout>
          <c:xMode val="edge"/>
          <c:yMode val="edge"/>
          <c:x val="0.45104776132241514"/>
          <c:y val="0"/>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Nutrientes'!$B$102</c:f>
              <c:strCache>
                <c:ptCount val="1"/>
                <c:pt idx="0">
                  <c:v>Balance de N</c:v>
                </c:pt>
              </c:strCache>
            </c:strRef>
          </c:tx>
          <c:spPr>
            <a:ln>
              <a:solidFill>
                <a:srgbClr val="FF0000"/>
              </a:solidFill>
            </a:ln>
          </c:spPr>
          <c:invertIfNegative val="0"/>
          <c:dPt>
            <c:idx val="0"/>
            <c:invertIfNegative val="0"/>
            <c:bubble3D val="0"/>
            <c:spPr/>
            <c:extLst>
              <c:ext xmlns:c16="http://schemas.microsoft.com/office/drawing/2014/chart" uri="{C3380CC4-5D6E-409C-BE32-E72D297353CC}">
                <c16:uniqueId val="{00000001-11EB-48F7-B94F-EFA07C31A906}"/>
              </c:ext>
            </c:extLst>
          </c:dPt>
          <c:val>
            <c:numRef>
              <c:f>'Balance de Nutrientes'!$D$102</c:f>
              <c:numCache>
                <c:formatCode>0.00</c:formatCode>
                <c:ptCount val="1"/>
                <c:pt idx="0">
                  <c:v>0</c:v>
                </c:pt>
              </c:numCache>
            </c:numRef>
          </c:val>
          <c:extLst>
            <c:ext xmlns:c16="http://schemas.microsoft.com/office/drawing/2014/chart" uri="{C3380CC4-5D6E-409C-BE32-E72D297353CC}">
              <c16:uniqueId val="{00000001-0F66-4E3D-B561-BBFA32F66A89}"/>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oculto'!$AB$28</c:f>
              <c:numCache>
                <c:formatCode>0.00</c:formatCode>
                <c:ptCount val="1"/>
                <c:pt idx="0">
                  <c:v>0</c:v>
                </c:pt>
              </c:numCache>
            </c:numRef>
          </c:val>
          <c:extLst>
            <c:ext xmlns:c16="http://schemas.microsoft.com/office/drawing/2014/chart" uri="{C3380CC4-5D6E-409C-BE32-E72D297353CC}">
              <c16:uniqueId val="{00000002-F27E-4B33-95CA-CDAC4D00933F}"/>
            </c:ext>
          </c:extLst>
        </c:ser>
        <c:ser>
          <c:idx val="0"/>
          <c:order val="2"/>
          <c:tx>
            <c:strRef>
              <c:f>'Balance de Nutrientes oculto'!$Y$10</c:f>
              <c:strCache>
                <c:ptCount val="1"/>
                <c:pt idx="0">
                  <c:v>ENTRADAS TOTALES </c:v>
                </c:pt>
              </c:strCache>
            </c:strRef>
          </c:tx>
          <c:spPr>
            <a:solidFill>
              <a:schemeClr val="accent2">
                <a:lumMod val="75000"/>
              </a:schemeClr>
            </a:solidFill>
          </c:spPr>
          <c:invertIfNegative val="0"/>
          <c:dPt>
            <c:idx val="0"/>
            <c:invertIfNegative val="0"/>
            <c:bubble3D val="0"/>
            <c:spPr>
              <a:solidFill>
                <a:schemeClr val="accent6">
                  <a:lumMod val="60000"/>
                  <a:lumOff val="40000"/>
                </a:schemeClr>
              </a:solidFill>
            </c:spPr>
            <c:extLst>
              <c:ext xmlns:c16="http://schemas.microsoft.com/office/drawing/2014/chart" uri="{C3380CC4-5D6E-409C-BE32-E72D297353CC}">
                <c16:uniqueId val="{00000003-A166-49C7-B72E-E539E7ACADCF}"/>
              </c:ext>
            </c:extLst>
          </c:dPt>
          <c:cat>
            <c:strRef>
              <c:f>('Balance de Nutrientes oculto'!$Y$10,'Balance de Nutrientes oculto'!$Y$21)</c:f>
              <c:strCache>
                <c:ptCount val="2"/>
                <c:pt idx="0">
                  <c:v>ENTRADAS TOTALES </c:v>
                </c:pt>
                <c:pt idx="1">
                  <c:v>SALIDAS TOTALES </c:v>
                </c:pt>
              </c:strCache>
            </c:strRef>
          </c:cat>
          <c:val>
            <c:numRef>
              <c:f>'Balance de Nutrientes oculto'!$AB$17</c:f>
              <c:numCache>
                <c:formatCode>0.00</c:formatCode>
                <c:ptCount val="1"/>
                <c:pt idx="0">
                  <c:v>0</c:v>
                </c:pt>
              </c:numCache>
            </c:numRef>
          </c:val>
          <c:extLst>
            <c:ext xmlns:c16="http://schemas.microsoft.com/office/drawing/2014/chart" uri="{C3380CC4-5D6E-409C-BE32-E72D297353CC}">
              <c16:uniqueId val="{00000001-F27E-4B33-95CA-CDAC4D00933F}"/>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Fósforo</a:t>
            </a:r>
          </a:p>
        </c:rich>
      </c:tx>
      <c:layout>
        <c:manualLayout>
          <c:xMode val="edge"/>
          <c:yMode val="edge"/>
          <c:x val="0.45104776132241514"/>
          <c:y val="0"/>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Nutrientes'!$B$103</c:f>
              <c:strCache>
                <c:ptCount val="1"/>
                <c:pt idx="0">
                  <c:v>Balance de P</c:v>
                </c:pt>
              </c:strCache>
            </c:strRef>
          </c:tx>
          <c:invertIfNegative val="0"/>
          <c:val>
            <c:numRef>
              <c:f>'Balance de Nutrientes'!$D$103</c:f>
              <c:numCache>
                <c:formatCode>0.00</c:formatCode>
                <c:ptCount val="1"/>
                <c:pt idx="0">
                  <c:v>0</c:v>
                </c:pt>
              </c:numCache>
            </c:numRef>
          </c:val>
          <c:extLst>
            <c:ext xmlns:c16="http://schemas.microsoft.com/office/drawing/2014/chart" uri="{C3380CC4-5D6E-409C-BE32-E72D297353CC}">
              <c16:uniqueId val="{00000001-1CA8-4F83-BB8B-7BB8D97C310E}"/>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oculto'!$AB$29</c:f>
              <c:numCache>
                <c:formatCode>0.00</c:formatCode>
                <c:ptCount val="1"/>
                <c:pt idx="0">
                  <c:v>0</c:v>
                </c:pt>
              </c:numCache>
            </c:numRef>
          </c:val>
          <c:extLst>
            <c:ext xmlns:c16="http://schemas.microsoft.com/office/drawing/2014/chart" uri="{C3380CC4-5D6E-409C-BE32-E72D297353CC}">
              <c16:uniqueId val="{00000001-1D57-4105-BAF4-B6CC4CB92154}"/>
            </c:ext>
          </c:extLst>
        </c:ser>
        <c:ser>
          <c:idx val="0"/>
          <c:order val="2"/>
          <c:tx>
            <c:strRef>
              <c:f>'Balance de Nutrientes oculto'!$Y$10</c:f>
              <c:strCache>
                <c:ptCount val="1"/>
                <c:pt idx="0">
                  <c:v>ENTRADAS TOTALES </c:v>
                </c:pt>
              </c:strCache>
            </c:strRef>
          </c:tx>
          <c:spPr>
            <a:solidFill>
              <a:schemeClr val="accent6">
                <a:lumMod val="60000"/>
                <a:lumOff val="40000"/>
              </a:schemeClr>
            </a:solidFill>
          </c:spPr>
          <c:invertIfNegative val="0"/>
          <c:cat>
            <c:strRef>
              <c:f>('Balance de Nutrientes oculto'!$Y$10,'Balance de Nutrientes oculto'!$Y$21)</c:f>
              <c:strCache>
                <c:ptCount val="2"/>
                <c:pt idx="0">
                  <c:v>ENTRADAS TOTALES </c:v>
                </c:pt>
                <c:pt idx="1">
                  <c:v>SALIDAS TOTALES </c:v>
                </c:pt>
              </c:strCache>
            </c:strRef>
          </c:cat>
          <c:val>
            <c:numRef>
              <c:f>'Balance de Nutrientes oculto'!$AB$18</c:f>
              <c:numCache>
                <c:formatCode>0.00</c:formatCode>
                <c:ptCount val="1"/>
                <c:pt idx="0">
                  <c:v>0</c:v>
                </c:pt>
              </c:numCache>
            </c:numRef>
          </c:val>
          <c:extLst>
            <c:ext xmlns:c16="http://schemas.microsoft.com/office/drawing/2014/chart" uri="{C3380CC4-5D6E-409C-BE32-E72D297353CC}">
              <c16:uniqueId val="{00000000-1D57-4105-BAF4-B6CC4CB92154}"/>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Potasio</a:t>
            </a:r>
          </a:p>
        </c:rich>
      </c:tx>
      <c:layout>
        <c:manualLayout>
          <c:xMode val="edge"/>
          <c:yMode val="edge"/>
          <c:x val="0.45104776132241514"/>
          <c:y val="0"/>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Nutrientes'!$B$104</c:f>
              <c:strCache>
                <c:ptCount val="1"/>
                <c:pt idx="0">
                  <c:v>Balance de K</c:v>
                </c:pt>
              </c:strCache>
            </c:strRef>
          </c:tx>
          <c:invertIfNegative val="0"/>
          <c:val>
            <c:numRef>
              <c:f>'Balance de Nutrientes'!$D$104</c:f>
              <c:numCache>
                <c:formatCode>0.00</c:formatCode>
                <c:ptCount val="1"/>
                <c:pt idx="0">
                  <c:v>0</c:v>
                </c:pt>
              </c:numCache>
            </c:numRef>
          </c:val>
          <c:extLst>
            <c:ext xmlns:c16="http://schemas.microsoft.com/office/drawing/2014/chart" uri="{C3380CC4-5D6E-409C-BE32-E72D297353CC}">
              <c16:uniqueId val="{00000001-3AAC-419B-B94E-4A5675468645}"/>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oculto'!$AB$30</c:f>
              <c:numCache>
                <c:formatCode>0.00</c:formatCode>
                <c:ptCount val="1"/>
                <c:pt idx="0">
                  <c:v>0</c:v>
                </c:pt>
              </c:numCache>
            </c:numRef>
          </c:val>
          <c:extLst>
            <c:ext xmlns:c16="http://schemas.microsoft.com/office/drawing/2014/chart" uri="{C3380CC4-5D6E-409C-BE32-E72D297353CC}">
              <c16:uniqueId val="{00000001-BC86-43AD-954B-5F55C09EFCEF}"/>
            </c:ext>
          </c:extLst>
        </c:ser>
        <c:ser>
          <c:idx val="0"/>
          <c:order val="2"/>
          <c:tx>
            <c:strRef>
              <c:f>'Balance de Nutrientes oculto'!$Y$10</c:f>
              <c:strCache>
                <c:ptCount val="1"/>
                <c:pt idx="0">
                  <c:v>ENTRADAS TOTALES </c:v>
                </c:pt>
              </c:strCache>
            </c:strRef>
          </c:tx>
          <c:spPr>
            <a:solidFill>
              <a:schemeClr val="accent6">
                <a:lumMod val="60000"/>
                <a:lumOff val="40000"/>
              </a:schemeClr>
            </a:solidFill>
          </c:spPr>
          <c:invertIfNegative val="0"/>
          <c:cat>
            <c:strRef>
              <c:f>('Balance de Nutrientes oculto'!$Y$10,'Balance de Nutrientes oculto'!$Y$21)</c:f>
              <c:strCache>
                <c:ptCount val="2"/>
                <c:pt idx="0">
                  <c:v>ENTRADAS TOTALES </c:v>
                </c:pt>
                <c:pt idx="1">
                  <c:v>SALIDAS TOTALES </c:v>
                </c:pt>
              </c:strCache>
            </c:strRef>
          </c:cat>
          <c:val>
            <c:numRef>
              <c:f>'Balance de Nutrientes oculto'!$AB$19</c:f>
              <c:numCache>
                <c:formatCode>0.00</c:formatCode>
                <c:ptCount val="1"/>
                <c:pt idx="0">
                  <c:v>0</c:v>
                </c:pt>
              </c:numCache>
            </c:numRef>
          </c:val>
          <c:extLst>
            <c:ext xmlns:c16="http://schemas.microsoft.com/office/drawing/2014/chart" uri="{C3380CC4-5D6E-409C-BE32-E72D297353CC}">
              <c16:uniqueId val="{00000000-BC86-43AD-954B-5F55C09EFCEF}"/>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3.xm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80211</xdr:colOff>
      <xdr:row>7</xdr:row>
      <xdr:rowOff>72190</xdr:rowOff>
    </xdr:from>
    <xdr:to>
      <xdr:col>1</xdr:col>
      <xdr:colOff>385011</xdr:colOff>
      <xdr:row>9</xdr:row>
      <xdr:rowOff>449180</xdr:rowOff>
    </xdr:to>
    <xdr:grpSp>
      <xdr:nvGrpSpPr>
        <xdr:cNvPr id="5" name="Grupo 4">
          <a:extLst>
            <a:ext uri="{FF2B5EF4-FFF2-40B4-BE49-F238E27FC236}">
              <a16:creationId xmlns:a16="http://schemas.microsoft.com/office/drawing/2014/main" id="{78C7D82E-7FA2-461E-AD68-64CF495B48B0}"/>
            </a:ext>
          </a:extLst>
        </xdr:cNvPr>
        <xdr:cNvGrpSpPr/>
      </xdr:nvGrpSpPr>
      <xdr:grpSpPr>
        <a:xfrm>
          <a:off x="288758" y="2125579"/>
          <a:ext cx="304800" cy="1524001"/>
          <a:chOff x="826169" y="737937"/>
          <a:chExt cx="304800" cy="1387643"/>
        </a:xfrm>
      </xdr:grpSpPr>
      <xdr:sp macro="" textlink="">
        <xdr:nvSpPr>
          <xdr:cNvPr id="2" name="Rectángulo: esquinas redondeadas 1">
            <a:extLst>
              <a:ext uri="{FF2B5EF4-FFF2-40B4-BE49-F238E27FC236}">
                <a16:creationId xmlns:a16="http://schemas.microsoft.com/office/drawing/2014/main" id="{FE855A16-FC7B-480C-B310-C01680EF8F5B}"/>
              </a:ext>
            </a:extLst>
          </xdr:cNvPr>
          <xdr:cNvSpPr/>
        </xdr:nvSpPr>
        <xdr:spPr>
          <a:xfrm>
            <a:off x="826169" y="737937"/>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1</a:t>
            </a:r>
          </a:p>
        </xdr:txBody>
      </xdr:sp>
      <xdr:sp macro="" textlink="">
        <xdr:nvSpPr>
          <xdr:cNvPr id="3" name="Rectángulo: esquinas redondeadas 2">
            <a:extLst>
              <a:ext uri="{FF2B5EF4-FFF2-40B4-BE49-F238E27FC236}">
                <a16:creationId xmlns:a16="http://schemas.microsoft.com/office/drawing/2014/main" id="{FE2CD6C3-151A-4748-B351-E66F37C7FF33}"/>
              </a:ext>
            </a:extLst>
          </xdr:cNvPr>
          <xdr:cNvSpPr/>
        </xdr:nvSpPr>
        <xdr:spPr>
          <a:xfrm>
            <a:off x="826169" y="1272695"/>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21</a:t>
            </a:r>
          </a:p>
        </xdr:txBody>
      </xdr:sp>
      <xdr:sp macro="" textlink="">
        <xdr:nvSpPr>
          <xdr:cNvPr id="4" name="Rectángulo: esquinas redondeadas 3">
            <a:extLst>
              <a:ext uri="{FF2B5EF4-FFF2-40B4-BE49-F238E27FC236}">
                <a16:creationId xmlns:a16="http://schemas.microsoft.com/office/drawing/2014/main" id="{EAE7A39C-1ED9-4185-8AA1-A81A01CBA4F8}"/>
              </a:ext>
            </a:extLst>
          </xdr:cNvPr>
          <xdr:cNvSpPr/>
        </xdr:nvSpPr>
        <xdr:spPr>
          <a:xfrm>
            <a:off x="826169" y="1756610"/>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3</a:t>
            </a:r>
          </a:p>
        </xdr:txBody>
      </xdr:sp>
    </xdr:grpSp>
    <xdr:clientData/>
  </xdr:twoCellAnchor>
  <xdr:twoCellAnchor>
    <xdr:from>
      <xdr:col>1</xdr:col>
      <xdr:colOff>2482513</xdr:colOff>
      <xdr:row>112</xdr:row>
      <xdr:rowOff>104274</xdr:rowOff>
    </xdr:from>
    <xdr:to>
      <xdr:col>1</xdr:col>
      <xdr:colOff>2787313</xdr:colOff>
      <xdr:row>112</xdr:row>
      <xdr:rowOff>473244</xdr:rowOff>
    </xdr:to>
    <xdr:sp macro="" textlink="">
      <xdr:nvSpPr>
        <xdr:cNvPr id="7" name="Rectángulo: esquinas redondeadas 6">
          <a:extLst>
            <a:ext uri="{FF2B5EF4-FFF2-40B4-BE49-F238E27FC236}">
              <a16:creationId xmlns:a16="http://schemas.microsoft.com/office/drawing/2014/main" id="{E5B41D61-ADBE-4159-8F24-7BB209404470}"/>
            </a:ext>
          </a:extLst>
        </xdr:cNvPr>
        <xdr:cNvSpPr/>
      </xdr:nvSpPr>
      <xdr:spPr>
        <a:xfrm>
          <a:off x="3228471" y="27680653"/>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t"/>
        <a:lstStyle/>
        <a:p>
          <a:pPr algn="l"/>
          <a:r>
            <a:rPr lang="es-ES" sz="1600" b="1">
              <a:solidFill>
                <a:sysClr val="windowText" lastClr="000000"/>
              </a:solidFill>
            </a:rPr>
            <a:t>N</a:t>
          </a:r>
        </a:p>
      </xdr:txBody>
    </xdr:sp>
    <xdr:clientData/>
  </xdr:twoCellAnchor>
  <xdr:twoCellAnchor>
    <xdr:from>
      <xdr:col>1</xdr:col>
      <xdr:colOff>2482513</xdr:colOff>
      <xdr:row>113</xdr:row>
      <xdr:rowOff>96252</xdr:rowOff>
    </xdr:from>
    <xdr:to>
      <xdr:col>1</xdr:col>
      <xdr:colOff>2787313</xdr:colOff>
      <xdr:row>113</xdr:row>
      <xdr:rowOff>465222</xdr:rowOff>
    </xdr:to>
    <xdr:sp macro="" textlink="">
      <xdr:nvSpPr>
        <xdr:cNvPr id="8" name="Rectángulo: esquinas redondeadas 7">
          <a:extLst>
            <a:ext uri="{FF2B5EF4-FFF2-40B4-BE49-F238E27FC236}">
              <a16:creationId xmlns:a16="http://schemas.microsoft.com/office/drawing/2014/main" id="{419DFBFB-1384-4787-BD71-B4DBB8F46C31}"/>
            </a:ext>
          </a:extLst>
        </xdr:cNvPr>
        <xdr:cNvSpPr/>
      </xdr:nvSpPr>
      <xdr:spPr>
        <a:xfrm>
          <a:off x="3228471" y="28226084"/>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solidFill>
                <a:sysClr val="windowText" lastClr="000000"/>
              </a:solidFill>
            </a:rPr>
            <a:t>P1</a:t>
          </a:r>
        </a:p>
      </xdr:txBody>
    </xdr:sp>
    <xdr:clientData/>
  </xdr:twoCellAnchor>
  <xdr:twoCellAnchor>
    <xdr:from>
      <xdr:col>1</xdr:col>
      <xdr:colOff>2482513</xdr:colOff>
      <xdr:row>114</xdr:row>
      <xdr:rowOff>88231</xdr:rowOff>
    </xdr:from>
    <xdr:to>
      <xdr:col>1</xdr:col>
      <xdr:colOff>2787313</xdr:colOff>
      <xdr:row>114</xdr:row>
      <xdr:rowOff>457201</xdr:rowOff>
    </xdr:to>
    <xdr:sp macro="" textlink="">
      <xdr:nvSpPr>
        <xdr:cNvPr id="9" name="Rectángulo: esquinas redondeadas 8">
          <a:extLst>
            <a:ext uri="{FF2B5EF4-FFF2-40B4-BE49-F238E27FC236}">
              <a16:creationId xmlns:a16="http://schemas.microsoft.com/office/drawing/2014/main" id="{E2A64FE4-17D7-4E60-B19B-241D1CFD4CDE}"/>
            </a:ext>
          </a:extLst>
        </xdr:cNvPr>
        <xdr:cNvSpPr/>
      </xdr:nvSpPr>
      <xdr:spPr>
        <a:xfrm>
          <a:off x="3228471" y="28771515"/>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solidFill>
                <a:sysClr val="windowText" lastClr="000000"/>
              </a:solidFill>
            </a:rPr>
            <a:t>K</a:t>
          </a:r>
        </a:p>
      </xdr:txBody>
    </xdr:sp>
    <xdr:clientData/>
  </xdr:twoCellAnchor>
  <xdr:oneCellAnchor>
    <xdr:from>
      <xdr:col>1</xdr:col>
      <xdr:colOff>168441</xdr:colOff>
      <xdr:row>112</xdr:row>
      <xdr:rowOff>144379</xdr:rowOff>
    </xdr:from>
    <xdr:ext cx="2292231" cy="342786"/>
    <xdr:sp macro="" textlink="">
      <xdr:nvSpPr>
        <xdr:cNvPr id="10" name="CuadroTexto 9">
          <a:extLst>
            <a:ext uri="{FF2B5EF4-FFF2-40B4-BE49-F238E27FC236}">
              <a16:creationId xmlns:a16="http://schemas.microsoft.com/office/drawing/2014/main" id="{9B2189BB-80A3-47F5-A494-E18A0BDBFD30}"/>
            </a:ext>
          </a:extLst>
        </xdr:cNvPr>
        <xdr:cNvSpPr txBox="1"/>
      </xdr:nvSpPr>
      <xdr:spPr>
        <a:xfrm>
          <a:off x="914399" y="27720758"/>
          <a:ext cx="22922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Tu pauta de </a:t>
          </a:r>
          <a:r>
            <a:rPr lang="es-ES" sz="1600">
              <a:solidFill>
                <a:schemeClr val="bg1"/>
              </a:solidFill>
              <a:effectLst>
                <a:glow rad="101600">
                  <a:schemeClr val="tx1">
                    <a:lumMod val="85000"/>
                    <a:lumOff val="15000"/>
                  </a:schemeClr>
                </a:glow>
              </a:effectLst>
            </a:rPr>
            <a:t>fertilización</a:t>
          </a:r>
          <a:r>
            <a:rPr lang="es-ES" sz="1400">
              <a:solidFill>
                <a:schemeClr val="bg1"/>
              </a:solidFill>
              <a:effectLst>
                <a:glow rad="101600">
                  <a:schemeClr val="tx1">
                    <a:lumMod val="85000"/>
                    <a:lumOff val="15000"/>
                  </a:schemeClr>
                </a:glow>
              </a:effectLst>
            </a:rPr>
            <a:t> de</a:t>
          </a:r>
        </a:p>
      </xdr:txBody>
    </xdr:sp>
    <xdr:clientData/>
  </xdr:oneCellAnchor>
  <xdr:oneCellAnchor>
    <xdr:from>
      <xdr:col>1</xdr:col>
      <xdr:colOff>168441</xdr:colOff>
      <xdr:row>113</xdr:row>
      <xdr:rowOff>96252</xdr:rowOff>
    </xdr:from>
    <xdr:ext cx="2292231" cy="342786"/>
    <xdr:sp macro="" textlink="">
      <xdr:nvSpPr>
        <xdr:cNvPr id="11" name="CuadroTexto 10">
          <a:extLst>
            <a:ext uri="{FF2B5EF4-FFF2-40B4-BE49-F238E27FC236}">
              <a16:creationId xmlns:a16="http://schemas.microsoft.com/office/drawing/2014/main" id="{2F258C5C-A68E-47B8-A007-B592A84C5A44}"/>
            </a:ext>
          </a:extLst>
        </xdr:cNvPr>
        <xdr:cNvSpPr txBox="1"/>
      </xdr:nvSpPr>
      <xdr:spPr>
        <a:xfrm>
          <a:off x="914399" y="28226084"/>
          <a:ext cx="22922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Tu pauta de </a:t>
          </a:r>
          <a:r>
            <a:rPr lang="es-ES" sz="1600">
              <a:solidFill>
                <a:schemeClr val="bg1"/>
              </a:solidFill>
              <a:effectLst>
                <a:glow rad="101600">
                  <a:schemeClr val="tx1">
                    <a:lumMod val="85000"/>
                    <a:lumOff val="15000"/>
                  </a:schemeClr>
                </a:glow>
              </a:effectLst>
            </a:rPr>
            <a:t>fertilización</a:t>
          </a:r>
          <a:r>
            <a:rPr lang="es-ES" sz="1400">
              <a:solidFill>
                <a:schemeClr val="bg1"/>
              </a:solidFill>
              <a:effectLst>
                <a:glow rad="101600">
                  <a:schemeClr val="tx1">
                    <a:lumMod val="85000"/>
                    <a:lumOff val="15000"/>
                  </a:schemeClr>
                </a:glow>
              </a:effectLst>
            </a:rPr>
            <a:t> de</a:t>
          </a:r>
        </a:p>
      </xdr:txBody>
    </xdr:sp>
    <xdr:clientData/>
  </xdr:oneCellAnchor>
  <xdr:oneCellAnchor>
    <xdr:from>
      <xdr:col>1</xdr:col>
      <xdr:colOff>168441</xdr:colOff>
      <xdr:row>114</xdr:row>
      <xdr:rowOff>96252</xdr:rowOff>
    </xdr:from>
    <xdr:ext cx="2292231" cy="342786"/>
    <xdr:sp macro="" textlink="">
      <xdr:nvSpPr>
        <xdr:cNvPr id="12" name="CuadroTexto 11">
          <a:extLst>
            <a:ext uri="{FF2B5EF4-FFF2-40B4-BE49-F238E27FC236}">
              <a16:creationId xmlns:a16="http://schemas.microsoft.com/office/drawing/2014/main" id="{EFE85866-BF15-4391-B35A-D7C558C8832F}"/>
            </a:ext>
          </a:extLst>
        </xdr:cNvPr>
        <xdr:cNvSpPr txBox="1"/>
      </xdr:nvSpPr>
      <xdr:spPr>
        <a:xfrm>
          <a:off x="914399" y="28779536"/>
          <a:ext cx="22922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Tu pauta de </a:t>
          </a:r>
          <a:r>
            <a:rPr lang="es-ES" sz="1600">
              <a:solidFill>
                <a:schemeClr val="bg1"/>
              </a:solidFill>
              <a:effectLst>
                <a:glow rad="101600">
                  <a:schemeClr val="tx1">
                    <a:lumMod val="85000"/>
                    <a:lumOff val="15000"/>
                  </a:schemeClr>
                </a:glow>
              </a:effectLst>
            </a:rPr>
            <a:t>fertilización</a:t>
          </a:r>
          <a:r>
            <a:rPr lang="es-ES" sz="1400">
              <a:solidFill>
                <a:schemeClr val="bg1"/>
              </a:solidFill>
              <a:effectLst>
                <a:glow rad="101600">
                  <a:schemeClr val="tx1">
                    <a:lumMod val="85000"/>
                    <a:lumOff val="15000"/>
                  </a:schemeClr>
                </a:glow>
              </a:effectLst>
            </a:rPr>
            <a:t> de</a:t>
          </a:r>
        </a:p>
      </xdr:txBody>
    </xdr:sp>
    <xdr:clientData/>
  </xdr:oneCellAnchor>
  <xdr:twoCellAnchor editAs="oneCell">
    <xdr:from>
      <xdr:col>3</xdr:col>
      <xdr:colOff>1050757</xdr:colOff>
      <xdr:row>1</xdr:row>
      <xdr:rowOff>80211</xdr:rowOff>
    </xdr:from>
    <xdr:to>
      <xdr:col>3</xdr:col>
      <xdr:colOff>1886366</xdr:colOff>
      <xdr:row>2</xdr:row>
      <xdr:rowOff>176463</xdr:rowOff>
    </xdr:to>
    <xdr:pic>
      <xdr:nvPicPr>
        <xdr:cNvPr id="15" name="Imagen 14">
          <a:extLst>
            <a:ext uri="{FF2B5EF4-FFF2-40B4-BE49-F238E27FC236}">
              <a16:creationId xmlns:a16="http://schemas.microsoft.com/office/drawing/2014/main" id="{EBE39311-567B-4F36-A2F1-82A5EB2DB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4315" y="272716"/>
          <a:ext cx="835609" cy="794084"/>
        </a:xfrm>
        <a:prstGeom prst="rect">
          <a:avLst/>
        </a:prstGeom>
      </xdr:spPr>
    </xdr:pic>
    <xdr:clientData/>
  </xdr:twoCellAnchor>
  <xdr:twoCellAnchor editAs="oneCell">
    <xdr:from>
      <xdr:col>1</xdr:col>
      <xdr:colOff>104273</xdr:colOff>
      <xdr:row>1</xdr:row>
      <xdr:rowOff>24063</xdr:rowOff>
    </xdr:from>
    <xdr:to>
      <xdr:col>1</xdr:col>
      <xdr:colOff>790852</xdr:colOff>
      <xdr:row>3</xdr:row>
      <xdr:rowOff>65170</xdr:rowOff>
    </xdr:to>
    <xdr:pic>
      <xdr:nvPicPr>
        <xdr:cNvPr id="19" name="Imagen 18">
          <a:extLst>
            <a:ext uri="{FF2B5EF4-FFF2-40B4-BE49-F238E27FC236}">
              <a16:creationId xmlns:a16="http://schemas.microsoft.com/office/drawing/2014/main" id="{F96D26D8-979C-40A8-AF11-F080F9C35D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820" y="216568"/>
          <a:ext cx="686579" cy="931444"/>
        </a:xfrm>
        <a:prstGeom prst="rect">
          <a:avLst/>
        </a:prstGeom>
      </xdr:spPr>
    </xdr:pic>
    <xdr:clientData/>
  </xdr:twoCellAnchor>
  <xdr:twoCellAnchor>
    <xdr:from>
      <xdr:col>1</xdr:col>
      <xdr:colOff>192506</xdr:colOff>
      <xdr:row>92</xdr:row>
      <xdr:rowOff>176463</xdr:rowOff>
    </xdr:from>
    <xdr:to>
      <xdr:col>1</xdr:col>
      <xdr:colOff>2029327</xdr:colOff>
      <xdr:row>98</xdr:row>
      <xdr:rowOff>176463</xdr:rowOff>
    </xdr:to>
    <xdr:graphicFrame macro="">
      <xdr:nvGraphicFramePr>
        <xdr:cNvPr id="13" name="Gráfico 12">
          <a:extLst>
            <a:ext uri="{FF2B5EF4-FFF2-40B4-BE49-F238E27FC236}">
              <a16:creationId xmlns:a16="http://schemas.microsoft.com/office/drawing/2014/main" id="{85B70CC2-E520-4C40-B281-DF59EFAB6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2093495</xdr:colOff>
      <xdr:row>93</xdr:row>
      <xdr:rowOff>1</xdr:rowOff>
    </xdr:from>
    <xdr:to>
      <xdr:col>2</xdr:col>
      <xdr:colOff>954505</xdr:colOff>
      <xdr:row>99</xdr:row>
      <xdr:rowOff>0</xdr:rowOff>
    </xdr:to>
    <xdr:graphicFrame macro="">
      <xdr:nvGraphicFramePr>
        <xdr:cNvPr id="17" name="Gráfico 16">
          <a:extLst>
            <a:ext uri="{FF2B5EF4-FFF2-40B4-BE49-F238E27FC236}">
              <a16:creationId xmlns:a16="http://schemas.microsoft.com/office/drawing/2014/main" id="{45E1409A-75CE-45ED-A87B-5E4302B01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1018675</xdr:colOff>
      <xdr:row>93</xdr:row>
      <xdr:rowOff>8019</xdr:rowOff>
    </xdr:from>
    <xdr:to>
      <xdr:col>3</xdr:col>
      <xdr:colOff>1636295</xdr:colOff>
      <xdr:row>99</xdr:row>
      <xdr:rowOff>0</xdr:rowOff>
    </xdr:to>
    <xdr:graphicFrame macro="">
      <xdr:nvGraphicFramePr>
        <xdr:cNvPr id="18" name="Gráfico 17">
          <a:extLst>
            <a:ext uri="{FF2B5EF4-FFF2-40B4-BE49-F238E27FC236}">
              <a16:creationId xmlns:a16="http://schemas.microsoft.com/office/drawing/2014/main" id="{4D5EA292-A866-452E-AFCE-A01C05934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0.28986</cdr:y>
    </cdr:from>
    <cdr:to>
      <cdr:x>0.24891</cdr:x>
      <cdr:y>0.52899</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20843"/>
          <a:ext cx="457203" cy="2646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Entradas</a:t>
          </a:r>
        </a:p>
      </cdr:txBody>
    </cdr:sp>
  </cdr:relSizeAnchor>
  <cdr:relSizeAnchor xmlns:cdr="http://schemas.openxmlformats.org/drawingml/2006/chartDrawing">
    <cdr:from>
      <cdr:x>0</cdr:x>
      <cdr:y>0.44928</cdr:y>
    </cdr:from>
    <cdr:to>
      <cdr:x>0.30131</cdr:x>
      <cdr:y>0.68841</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97306"/>
          <a:ext cx="55345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Salidas</a:t>
          </a:r>
        </a:p>
      </cdr:txBody>
    </cdr:sp>
  </cdr:relSizeAnchor>
  <cdr:relSizeAnchor xmlns:cdr="http://schemas.openxmlformats.org/drawingml/2006/chartDrawing">
    <cdr:from>
      <cdr:x>0</cdr:x>
      <cdr:y>0.59662</cdr:y>
    </cdr:from>
    <cdr:to>
      <cdr:x>0.24891</cdr:x>
      <cdr:y>0.83575</cdr:y>
    </cdr:to>
    <cdr:sp macro="" textlink="">
      <cdr:nvSpPr>
        <cdr:cNvPr id="5" name="CuadroTexto 1">
          <a:extLst xmlns:a="http://schemas.openxmlformats.org/drawingml/2006/main">
            <a:ext uri="{FF2B5EF4-FFF2-40B4-BE49-F238E27FC236}">
              <a16:creationId xmlns:a16="http://schemas.microsoft.com/office/drawing/2014/main" id="{40C447DE-20B9-4AEB-A53E-4E271D808EF0}"/>
            </a:ext>
          </a:extLst>
        </cdr:cNvPr>
        <cdr:cNvSpPr txBox="1"/>
      </cdr:nvSpPr>
      <cdr:spPr>
        <a:xfrm xmlns:a="http://schemas.openxmlformats.org/drawingml/2006/main">
          <a:off x="0" y="660401"/>
          <a:ext cx="45720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drawings/drawing3.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0.28261</cdr:y>
    </cdr:from>
    <cdr:to>
      <cdr:x>0.24891</cdr:x>
      <cdr:y>0.52174</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12821"/>
          <a:ext cx="457203" cy="264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Entradas</a:t>
          </a:r>
        </a:p>
      </cdr:txBody>
    </cdr:sp>
  </cdr:relSizeAnchor>
  <cdr:relSizeAnchor xmlns:cdr="http://schemas.openxmlformats.org/drawingml/2006/chartDrawing">
    <cdr:from>
      <cdr:x>0</cdr:x>
      <cdr:y>0.4372</cdr:y>
    </cdr:from>
    <cdr:to>
      <cdr:x>0.30131</cdr:x>
      <cdr:y>0.67633</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83937"/>
          <a:ext cx="55345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Salidas</a:t>
          </a:r>
        </a:p>
      </cdr:txBody>
    </cdr:sp>
  </cdr:relSizeAnchor>
  <cdr:relSizeAnchor xmlns:cdr="http://schemas.openxmlformats.org/drawingml/2006/chartDrawing">
    <cdr:from>
      <cdr:x>0</cdr:x>
      <cdr:y>0.59662</cdr:y>
    </cdr:from>
    <cdr:to>
      <cdr:x>0.24891</cdr:x>
      <cdr:y>0.83575</cdr:y>
    </cdr:to>
    <cdr:sp macro="" textlink="">
      <cdr:nvSpPr>
        <cdr:cNvPr id="5" name="CuadroTexto 1">
          <a:extLst xmlns:a="http://schemas.openxmlformats.org/drawingml/2006/main">
            <a:ext uri="{FF2B5EF4-FFF2-40B4-BE49-F238E27FC236}">
              <a16:creationId xmlns:a16="http://schemas.microsoft.com/office/drawing/2014/main" id="{0849A7E6-9C60-459E-947E-38699EC5F7D1}"/>
            </a:ext>
          </a:extLst>
        </cdr:cNvPr>
        <cdr:cNvSpPr txBox="1"/>
      </cdr:nvSpPr>
      <cdr:spPr>
        <a:xfrm xmlns:a="http://schemas.openxmlformats.org/drawingml/2006/main">
          <a:off x="0" y="660400"/>
          <a:ext cx="45720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drawings/drawing4.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0.28282</cdr:y>
    </cdr:from>
    <cdr:to>
      <cdr:x>0.24891</cdr:x>
      <cdr:y>0.52195</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10783"/>
          <a:ext cx="457203" cy="2627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Entradas</a:t>
          </a:r>
        </a:p>
      </cdr:txBody>
    </cdr:sp>
  </cdr:relSizeAnchor>
  <cdr:relSizeAnchor xmlns:cdr="http://schemas.openxmlformats.org/drawingml/2006/chartDrawing">
    <cdr:from>
      <cdr:x>0</cdr:x>
      <cdr:y>0.43741</cdr:y>
    </cdr:from>
    <cdr:to>
      <cdr:x>0.30131</cdr:x>
      <cdr:y>0.67654</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80660"/>
          <a:ext cx="553452" cy="2627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Salidas</a:t>
          </a:r>
        </a:p>
      </cdr:txBody>
    </cdr:sp>
  </cdr:relSizeAnchor>
  <cdr:relSizeAnchor xmlns:cdr="http://schemas.openxmlformats.org/drawingml/2006/chartDrawing">
    <cdr:from>
      <cdr:x>0</cdr:x>
      <cdr:y>0.58953</cdr:y>
    </cdr:from>
    <cdr:to>
      <cdr:x>0.24891</cdr:x>
      <cdr:y>0.82866</cdr:y>
    </cdr:to>
    <cdr:sp macro="" textlink="">
      <cdr:nvSpPr>
        <cdr:cNvPr id="5" name="CuadroTexto 1">
          <a:extLst xmlns:a="http://schemas.openxmlformats.org/drawingml/2006/main">
            <a:ext uri="{FF2B5EF4-FFF2-40B4-BE49-F238E27FC236}">
              <a16:creationId xmlns:a16="http://schemas.microsoft.com/office/drawing/2014/main" id="{0BA9F9A9-CA47-48C6-B6CA-04327F375A33}"/>
            </a:ext>
          </a:extLst>
        </cdr:cNvPr>
        <cdr:cNvSpPr txBox="1"/>
      </cdr:nvSpPr>
      <cdr:spPr>
        <a:xfrm xmlns:a="http://schemas.openxmlformats.org/drawingml/2006/main">
          <a:off x="0" y="647824"/>
          <a:ext cx="457203" cy="2627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Objetivo%204.%20Calculadora%20Nutriolivar/Calculadora%20en%20Bruto/Calculadora%20Nutrientes_Nutriolivar%20_Bru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de Nutrientes"/>
      <sheetName val="FERTILIZANTES"/>
    </sheetNames>
    <sheetDataSet>
      <sheetData sheetId="0" refreshError="1"/>
      <sheetData sheetId="1">
        <row r="40">
          <cell r="E40" t="str">
            <v>Quemarla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A71C92-4D01-45B5-A56E-168A71944A74}" name="tblFert" displayName="tblFert" ref="B11:F22" totalsRowShown="0" headerRowDxfId="8" dataDxfId="6" headerRowBorderDxfId="7" tableBorderDxfId="5">
  <autoFilter ref="B11:F22" xr:uid="{74A71C92-4D01-45B5-A56E-168A71944A74}"/>
  <tableColumns count="5">
    <tableColumn id="1" xr3:uid="{9B33048D-CDA3-414D-B819-D030EB00918F}" name="Fertilizante orgánico" dataDxfId="4"/>
    <tableColumn id="2" xr3:uid="{943F192F-EBB0-45ED-A0F5-45934B842247}" name="N" dataDxfId="3"/>
    <tableColumn id="3" xr3:uid="{30C626B1-9F24-42E4-AE91-0554186EC75C}" name="P" dataDxfId="2"/>
    <tableColumn id="4" xr3:uid="{71FDEE68-C542-4D60-8FAF-BA57B768F771}" name="K" dataDxfId="1"/>
    <tableColumn id="5" xr3:uid="{CDF196A9-C8F9-4653-8AF4-A954CED721C0}" name="Humedad"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633C-EC61-4C66-93F5-4C5E484D3A2D}">
  <dimension ref="A1:E137"/>
  <sheetViews>
    <sheetView showGridLines="0" tabSelected="1" topLeftCell="A13" zoomScale="95" zoomScaleNormal="95" workbookViewId="0">
      <selection activeCell="D90" sqref="D90"/>
    </sheetView>
  </sheetViews>
  <sheetFormatPr baseColWidth="10" defaultColWidth="0" defaultRowHeight="14.4" zeroHeight="1" x14ac:dyDescent="0.3"/>
  <cols>
    <col min="1" max="1" width="3" style="67" customWidth="1"/>
    <col min="2" max="2" width="43.33203125" customWidth="1"/>
    <col min="3" max="3" width="17.77734375" style="2" customWidth="1"/>
    <col min="4" max="4" width="29" customWidth="1"/>
    <col min="5" max="5" width="2.77734375" style="67" customWidth="1"/>
    <col min="6" max="16384" width="11.5546875" hidden="1"/>
  </cols>
  <sheetData>
    <row r="1" spans="1:5" ht="15" thickBot="1" x14ac:dyDescent="0.35">
      <c r="B1" s="67"/>
      <c r="C1" s="225"/>
      <c r="D1" s="67"/>
    </row>
    <row r="2" spans="1:5" s="67" customFormat="1" ht="55.2" customHeight="1" x14ac:dyDescent="0.3">
      <c r="B2" s="277" t="s">
        <v>317</v>
      </c>
      <c r="C2" s="278"/>
      <c r="D2" s="279"/>
    </row>
    <row r="3" spans="1:5" s="67" customFormat="1" ht="15" customHeight="1" x14ac:dyDescent="0.3">
      <c r="B3" s="280" t="s">
        <v>310</v>
      </c>
      <c r="C3" s="281"/>
      <c r="D3" s="282"/>
    </row>
    <row r="4" spans="1:5" s="67" customFormat="1" ht="22.8" customHeight="1" thickBot="1" x14ac:dyDescent="0.35">
      <c r="B4" s="283" t="s">
        <v>336</v>
      </c>
      <c r="C4" s="284"/>
      <c r="D4" s="285"/>
    </row>
    <row r="5" spans="1:5" s="67" customFormat="1" ht="15" thickBot="1" x14ac:dyDescent="0.35"/>
    <row r="6" spans="1:5" s="67" customFormat="1" ht="24" thickBot="1" x14ac:dyDescent="0.5">
      <c r="B6" s="289" t="s">
        <v>306</v>
      </c>
      <c r="C6" s="290"/>
      <c r="D6" s="291"/>
    </row>
    <row r="7" spans="1:5" s="67" customFormat="1" x14ac:dyDescent="0.3">
      <c r="C7" s="225"/>
    </row>
    <row r="8" spans="1:5" s="67" customFormat="1" ht="46.2" customHeight="1" x14ac:dyDescent="0.3">
      <c r="B8" s="295" t="s">
        <v>324</v>
      </c>
      <c r="C8" s="296"/>
      <c r="D8" s="297"/>
    </row>
    <row r="9" spans="1:5" s="67" customFormat="1" ht="44.4" customHeight="1" x14ac:dyDescent="0.3">
      <c r="B9" s="294" t="s">
        <v>308</v>
      </c>
      <c r="C9" s="294"/>
      <c r="D9" s="294"/>
    </row>
    <row r="10" spans="1:5" s="67" customFormat="1" ht="39.6" customHeight="1" x14ac:dyDescent="0.3">
      <c r="B10" s="294" t="s">
        <v>307</v>
      </c>
      <c r="C10" s="294"/>
      <c r="D10" s="294"/>
    </row>
    <row r="11" spans="1:5" s="67" customFormat="1" ht="15" thickBot="1" x14ac:dyDescent="0.35">
      <c r="C11" s="225"/>
    </row>
    <row r="12" spans="1:5" ht="24" thickBot="1" x14ac:dyDescent="0.5">
      <c r="A12" s="35"/>
      <c r="B12" s="298" t="s">
        <v>301</v>
      </c>
      <c r="C12" s="299"/>
      <c r="D12" s="300"/>
      <c r="E12" s="230"/>
    </row>
    <row r="13" spans="1:5" x14ac:dyDescent="0.3">
      <c r="A13" s="35"/>
      <c r="B13" s="35"/>
      <c r="C13" s="35"/>
      <c r="D13" s="35"/>
      <c r="E13" s="35"/>
    </row>
    <row r="14" spans="1:5" x14ac:dyDescent="0.3">
      <c r="A14" s="35"/>
      <c r="B14" s="227"/>
      <c r="C14" s="227" t="s">
        <v>13</v>
      </c>
      <c r="D14" s="228" t="s">
        <v>14</v>
      </c>
    </row>
    <row r="15" spans="1:5" x14ac:dyDescent="0.3">
      <c r="A15" s="35"/>
      <c r="B15" s="229" t="s">
        <v>322</v>
      </c>
      <c r="C15" s="229" t="s">
        <v>323</v>
      </c>
      <c r="D15" s="254"/>
    </row>
    <row r="16" spans="1:5" x14ac:dyDescent="0.3">
      <c r="A16" s="35"/>
      <c r="B16" s="229" t="s">
        <v>197</v>
      </c>
      <c r="C16" s="229" t="s">
        <v>202</v>
      </c>
      <c r="D16" s="254"/>
    </row>
    <row r="17" spans="1:5" ht="16.2" x14ac:dyDescent="0.3">
      <c r="A17" s="35"/>
      <c r="B17" s="229" t="s">
        <v>224</v>
      </c>
      <c r="C17" s="229" t="s">
        <v>223</v>
      </c>
      <c r="D17" s="254"/>
    </row>
    <row r="18" spans="1:5" x14ac:dyDescent="0.3">
      <c r="A18" s="35"/>
      <c r="B18" s="247" t="s">
        <v>57</v>
      </c>
      <c r="C18" s="229" t="s">
        <v>320</v>
      </c>
      <c r="D18" s="254"/>
    </row>
    <row r="19" spans="1:5" s="4" customFormat="1" ht="15" thickBot="1" x14ac:dyDescent="0.35">
      <c r="A19" s="35"/>
      <c r="B19" s="35"/>
      <c r="C19" s="226"/>
      <c r="D19" s="35"/>
      <c r="E19" s="35"/>
    </row>
    <row r="20" spans="1:5" ht="24" thickBot="1" x14ac:dyDescent="0.5">
      <c r="A20" s="35"/>
      <c r="B20" s="301" t="s">
        <v>332</v>
      </c>
      <c r="C20" s="302"/>
      <c r="D20" s="303"/>
      <c r="E20" s="231"/>
    </row>
    <row r="21" spans="1:5" ht="12.6" customHeight="1" x14ac:dyDescent="0.3">
      <c r="A21" s="35"/>
      <c r="B21" s="238"/>
      <c r="E21" s="35"/>
    </row>
    <row r="22" spans="1:5" s="67" customFormat="1" ht="18" x14ac:dyDescent="0.35">
      <c r="A22" s="35"/>
      <c r="B22" s="241"/>
      <c r="C22" s="227" t="s">
        <v>13</v>
      </c>
      <c r="D22" s="228" t="s">
        <v>14</v>
      </c>
      <c r="E22" s="35"/>
    </row>
    <row r="23" spans="1:5" x14ac:dyDescent="0.3">
      <c r="B23" s="240" t="s">
        <v>26</v>
      </c>
      <c r="C23" s="229" t="s">
        <v>312</v>
      </c>
      <c r="D23" s="257"/>
      <c r="E23" s="35"/>
    </row>
    <row r="24" spans="1:5" s="67" customFormat="1" ht="16.2" x14ac:dyDescent="0.3">
      <c r="A24" s="35"/>
      <c r="B24" s="240" t="s">
        <v>29</v>
      </c>
      <c r="C24" s="229" t="s">
        <v>321</v>
      </c>
      <c r="D24" s="256"/>
      <c r="E24" s="35"/>
    </row>
    <row r="25" spans="1:5" x14ac:dyDescent="0.3">
      <c r="A25" s="35"/>
      <c r="B25" s="259" t="s">
        <v>225</v>
      </c>
      <c r="C25" s="275"/>
      <c r="D25" s="256" t="s">
        <v>116</v>
      </c>
      <c r="E25" s="35"/>
    </row>
    <row r="26" spans="1:5" x14ac:dyDescent="0.3">
      <c r="A26" s="35"/>
      <c r="B26" s="287" t="s">
        <v>234</v>
      </c>
      <c r="C26" s="288"/>
      <c r="D26" s="256" t="s">
        <v>116</v>
      </c>
      <c r="E26" s="232"/>
    </row>
    <row r="27" spans="1:5" s="67" customFormat="1" x14ac:dyDescent="0.3">
      <c r="A27" s="35"/>
      <c r="B27" s="287" t="s">
        <v>240</v>
      </c>
      <c r="C27" s="288"/>
      <c r="D27" s="256" t="s">
        <v>116</v>
      </c>
      <c r="E27" s="233"/>
    </row>
    <row r="28" spans="1:5" x14ac:dyDescent="0.3">
      <c r="A28" s="35"/>
      <c r="B28" s="286" t="s">
        <v>251</v>
      </c>
      <c r="C28" s="286"/>
      <c r="D28" s="254" t="s">
        <v>116</v>
      </c>
      <c r="E28" s="234"/>
    </row>
    <row r="29" spans="1:5" ht="18" x14ac:dyDescent="0.35">
      <c r="A29" s="35"/>
      <c r="B29" s="241" t="s">
        <v>24</v>
      </c>
      <c r="E29" s="233"/>
    </row>
    <row r="30" spans="1:5" x14ac:dyDescent="0.3">
      <c r="A30" s="35"/>
      <c r="B30" s="242" t="s">
        <v>31</v>
      </c>
      <c r="C30" s="243" t="s">
        <v>38</v>
      </c>
      <c r="D30" s="258" t="s">
        <v>116</v>
      </c>
      <c r="E30" s="35"/>
    </row>
    <row r="31" spans="1:5" x14ac:dyDescent="0.3">
      <c r="A31" s="35"/>
      <c r="B31" s="242" t="s">
        <v>32</v>
      </c>
      <c r="C31" s="243" t="s">
        <v>313</v>
      </c>
      <c r="D31" s="256"/>
      <c r="E31" s="35"/>
    </row>
    <row r="32" spans="1:5" s="67" customFormat="1" x14ac:dyDescent="0.3">
      <c r="A32" s="35"/>
      <c r="B32" s="226"/>
      <c r="C32" s="35"/>
      <c r="D32" s="244"/>
      <c r="E32" s="35"/>
    </row>
    <row r="33" spans="1:5" x14ac:dyDescent="0.3">
      <c r="A33" s="35"/>
      <c r="B33" s="240" t="s">
        <v>33</v>
      </c>
      <c r="C33" s="229" t="s">
        <v>38</v>
      </c>
      <c r="D33" s="258" t="s">
        <v>116</v>
      </c>
      <c r="E33" s="35"/>
    </row>
    <row r="34" spans="1:5" x14ac:dyDescent="0.3">
      <c r="A34" s="35"/>
      <c r="B34" s="240" t="s">
        <v>32</v>
      </c>
      <c r="C34" s="229" t="s">
        <v>313</v>
      </c>
      <c r="D34" s="256"/>
      <c r="E34" s="35"/>
    </row>
    <row r="35" spans="1:5" s="67" customFormat="1" x14ac:dyDescent="0.3">
      <c r="A35" s="35"/>
      <c r="B35" s="226"/>
      <c r="C35" s="35"/>
      <c r="D35" s="233"/>
      <c r="E35" s="35"/>
    </row>
    <row r="36" spans="1:5" x14ac:dyDescent="0.3">
      <c r="A36" s="35"/>
      <c r="B36" s="240" t="s">
        <v>34</v>
      </c>
      <c r="C36" s="229" t="s">
        <v>38</v>
      </c>
      <c r="D36" s="258" t="s">
        <v>116</v>
      </c>
      <c r="E36" s="35"/>
    </row>
    <row r="37" spans="1:5" x14ac:dyDescent="0.3">
      <c r="A37" s="35"/>
      <c r="B37" s="240" t="s">
        <v>32</v>
      </c>
      <c r="C37" s="229" t="s">
        <v>313</v>
      </c>
      <c r="D37" s="256"/>
      <c r="E37" s="35"/>
    </row>
    <row r="38" spans="1:5" s="67" customFormat="1" x14ac:dyDescent="0.3">
      <c r="A38" s="35"/>
      <c r="B38" s="226"/>
      <c r="C38" s="35"/>
      <c r="D38" s="233"/>
      <c r="E38" s="35"/>
    </row>
    <row r="39" spans="1:5" x14ac:dyDescent="0.3">
      <c r="A39" s="35"/>
      <c r="B39" s="240" t="s">
        <v>35</v>
      </c>
      <c r="C39" s="229" t="s">
        <v>38</v>
      </c>
      <c r="D39" s="258" t="s">
        <v>116</v>
      </c>
      <c r="E39" s="35"/>
    </row>
    <row r="40" spans="1:5" x14ac:dyDescent="0.3">
      <c r="A40" s="35"/>
      <c r="B40" s="240" t="s">
        <v>32</v>
      </c>
      <c r="C40" s="229" t="s">
        <v>313</v>
      </c>
      <c r="D40" s="256"/>
      <c r="E40" s="35"/>
    </row>
    <row r="41" spans="1:5" s="67" customFormat="1" x14ac:dyDescent="0.3">
      <c r="A41" s="35"/>
      <c r="B41" s="226"/>
      <c r="C41" s="35"/>
      <c r="D41" s="233"/>
      <c r="E41" s="35"/>
    </row>
    <row r="42" spans="1:5" x14ac:dyDescent="0.3">
      <c r="A42" s="35"/>
      <c r="B42" s="240" t="s">
        <v>36</v>
      </c>
      <c r="C42" s="229" t="s">
        <v>38</v>
      </c>
      <c r="D42" s="258" t="s">
        <v>116</v>
      </c>
      <c r="E42" s="35"/>
    </row>
    <row r="43" spans="1:5" x14ac:dyDescent="0.3">
      <c r="A43" s="35"/>
      <c r="B43" s="240" t="s">
        <v>32</v>
      </c>
      <c r="C43" s="229" t="s">
        <v>313</v>
      </c>
      <c r="D43" s="256"/>
      <c r="E43" s="35"/>
    </row>
    <row r="44" spans="1:5" s="67" customFormat="1" ht="18" x14ac:dyDescent="0.35">
      <c r="A44" s="35"/>
      <c r="B44" s="241" t="s">
        <v>25</v>
      </c>
      <c r="C44" s="226"/>
      <c r="D44" s="35"/>
      <c r="E44" s="233"/>
    </row>
    <row r="45" spans="1:5" s="67" customFormat="1" ht="32.4" customHeight="1" x14ac:dyDescent="0.3">
      <c r="A45" s="35"/>
      <c r="B45" s="307" t="s">
        <v>337</v>
      </c>
      <c r="C45" s="307"/>
      <c r="D45" s="307"/>
      <c r="E45" s="233"/>
    </row>
    <row r="46" spans="1:5" x14ac:dyDescent="0.3">
      <c r="A46" s="35"/>
      <c r="B46" s="240" t="s">
        <v>31</v>
      </c>
      <c r="C46" s="229" t="s">
        <v>38</v>
      </c>
      <c r="D46" s="256" t="s">
        <v>116</v>
      </c>
      <c r="E46" s="35"/>
    </row>
    <row r="47" spans="1:5" x14ac:dyDescent="0.3">
      <c r="A47" s="35"/>
      <c r="B47" s="240" t="s">
        <v>44</v>
      </c>
      <c r="C47" s="229" t="s">
        <v>313</v>
      </c>
      <c r="D47" s="256"/>
      <c r="E47" s="35"/>
    </row>
    <row r="48" spans="1:5" x14ac:dyDescent="0.3">
      <c r="A48" s="35"/>
      <c r="B48" s="240" t="s">
        <v>45</v>
      </c>
      <c r="C48" s="229" t="s">
        <v>1</v>
      </c>
      <c r="D48" s="256">
        <f>IF(OR($D$46="NPK granulados",$D$46="NPK solubles"),"",VLOOKUP($D$46,FERTILIZANTES!$H$12:$K$30,2,FALSE))</f>
        <v>0</v>
      </c>
      <c r="E48" s="35"/>
    </row>
    <row r="49" spans="1:5" x14ac:dyDescent="0.3">
      <c r="A49" s="35"/>
      <c r="B49" s="240" t="s">
        <v>81</v>
      </c>
      <c r="C49" s="229" t="s">
        <v>1</v>
      </c>
      <c r="D49" s="256">
        <f>IF(OR($D$46="NPK granulados",$D$46="NPK solubles"),"",VLOOKUP($D$46,FERTILIZANTES!$H$12:$K$30,3,FALSE))</f>
        <v>0</v>
      </c>
      <c r="E49" s="35"/>
    </row>
    <row r="50" spans="1:5" x14ac:dyDescent="0.3">
      <c r="A50" s="35"/>
      <c r="B50" s="240" t="s">
        <v>82</v>
      </c>
      <c r="C50" s="229" t="s">
        <v>1</v>
      </c>
      <c r="D50" s="256">
        <f>IF(OR($D$46="NPK granulados",$D$46="NPK solubles"),"",VLOOKUP($D$46,FERTILIZANTES!$H$12:$K$30,4,FALSE))</f>
        <v>0</v>
      </c>
      <c r="E50" s="35"/>
    </row>
    <row r="51" spans="1:5" s="67" customFormat="1" x14ac:dyDescent="0.3">
      <c r="A51" s="35"/>
      <c r="B51" s="226"/>
      <c r="C51" s="35"/>
      <c r="D51" s="233"/>
      <c r="E51" s="35"/>
    </row>
    <row r="52" spans="1:5" x14ac:dyDescent="0.3">
      <c r="A52" s="35"/>
      <c r="B52" s="240" t="s">
        <v>33</v>
      </c>
      <c r="C52" s="229" t="s">
        <v>38</v>
      </c>
      <c r="D52" s="256" t="s">
        <v>116</v>
      </c>
      <c r="E52" s="35"/>
    </row>
    <row r="53" spans="1:5" x14ac:dyDescent="0.3">
      <c r="A53" s="35"/>
      <c r="B53" s="240" t="s">
        <v>44</v>
      </c>
      <c r="C53" s="229" t="s">
        <v>313</v>
      </c>
      <c r="D53" s="256"/>
      <c r="E53" s="35"/>
    </row>
    <row r="54" spans="1:5" x14ac:dyDescent="0.3">
      <c r="A54" s="35"/>
      <c r="B54" s="240" t="s">
        <v>45</v>
      </c>
      <c r="C54" s="229" t="s">
        <v>1</v>
      </c>
      <c r="D54" s="256">
        <f>IF(OR($D$52="NPK granulados",$D$52="NPK solubles"),"",VLOOKUP($D$52,FERTILIZANTES!$H$12:$K$30,2,FALSE))</f>
        <v>0</v>
      </c>
      <c r="E54" s="35"/>
    </row>
    <row r="55" spans="1:5" x14ac:dyDescent="0.3">
      <c r="A55" s="35"/>
      <c r="B55" s="240" t="s">
        <v>81</v>
      </c>
      <c r="C55" s="229" t="s">
        <v>1</v>
      </c>
      <c r="D55" s="256">
        <f>IF(OR($D$52="NPK granulados",$D$52="NPK solubles"),"",VLOOKUP($D$52,FERTILIZANTES!$H$12:$K$30,3,FALSE))</f>
        <v>0</v>
      </c>
      <c r="E55" s="35"/>
    </row>
    <row r="56" spans="1:5" x14ac:dyDescent="0.3">
      <c r="A56" s="35"/>
      <c r="B56" s="240" t="s">
        <v>82</v>
      </c>
      <c r="C56" s="229" t="s">
        <v>1</v>
      </c>
      <c r="D56" s="256">
        <f>IF(OR($D$52="NPK granulados",$D$52="NPK solubles"),"",VLOOKUP($D$52,FERTILIZANTES!$H$12:$K$30,4,FALSE))</f>
        <v>0</v>
      </c>
      <c r="E56" s="35"/>
    </row>
    <row r="57" spans="1:5" s="67" customFormat="1" x14ac:dyDescent="0.3">
      <c r="A57" s="35"/>
      <c r="B57" s="226"/>
      <c r="C57" s="35"/>
      <c r="D57" s="233"/>
      <c r="E57" s="35"/>
    </row>
    <row r="58" spans="1:5" x14ac:dyDescent="0.3">
      <c r="A58" s="35"/>
      <c r="B58" s="240" t="s">
        <v>34</v>
      </c>
      <c r="C58" s="229" t="s">
        <v>38</v>
      </c>
      <c r="D58" s="256" t="s">
        <v>116</v>
      </c>
      <c r="E58" s="35"/>
    </row>
    <row r="59" spans="1:5" x14ac:dyDescent="0.3">
      <c r="A59" s="35"/>
      <c r="B59" s="240" t="s">
        <v>44</v>
      </c>
      <c r="C59" s="229" t="s">
        <v>313</v>
      </c>
      <c r="D59" s="256">
        <v>0</v>
      </c>
      <c r="E59" s="35"/>
    </row>
    <row r="60" spans="1:5" x14ac:dyDescent="0.3">
      <c r="A60" s="35"/>
      <c r="B60" s="240" t="s">
        <v>45</v>
      </c>
      <c r="C60" s="229" t="s">
        <v>1</v>
      </c>
      <c r="D60" s="256">
        <f>IF(OR($D$58="NPK granulados",$D$58="NPK solubles"),"",VLOOKUP($D$58,FERTILIZANTES!$H$12:$K$30,2,FALSE))</f>
        <v>0</v>
      </c>
      <c r="E60" s="35"/>
    </row>
    <row r="61" spans="1:5" x14ac:dyDescent="0.3">
      <c r="A61" s="35"/>
      <c r="B61" s="240" t="s">
        <v>81</v>
      </c>
      <c r="C61" s="229" t="s">
        <v>1</v>
      </c>
      <c r="D61" s="256">
        <f>IF(OR($D$58="NPK granulados",$D$58="NPK solubles"),"",VLOOKUP($D$58,FERTILIZANTES!$H$12:$K$30,3,FALSE))</f>
        <v>0</v>
      </c>
      <c r="E61" s="35"/>
    </row>
    <row r="62" spans="1:5" x14ac:dyDescent="0.3">
      <c r="A62" s="35"/>
      <c r="B62" s="240" t="s">
        <v>82</v>
      </c>
      <c r="C62" s="229" t="s">
        <v>1</v>
      </c>
      <c r="D62" s="256">
        <f>IF(OR($D$58="NPK granulados",$D$58="NPK solubles"),"",VLOOKUP($D$58,FERTILIZANTES!$H$12:$K$30,4,FALSE))</f>
        <v>0</v>
      </c>
      <c r="E62" s="35"/>
    </row>
    <row r="63" spans="1:5" s="67" customFormat="1" x14ac:dyDescent="0.3">
      <c r="A63" s="35"/>
      <c r="B63" s="226"/>
      <c r="C63" s="35"/>
      <c r="D63" s="233"/>
      <c r="E63" s="35"/>
    </row>
    <row r="64" spans="1:5" x14ac:dyDescent="0.3">
      <c r="A64" s="35"/>
      <c r="B64" s="240" t="s">
        <v>35</v>
      </c>
      <c r="C64" s="229" t="s">
        <v>38</v>
      </c>
      <c r="D64" s="256" t="s">
        <v>116</v>
      </c>
      <c r="E64" s="35"/>
    </row>
    <row r="65" spans="1:5" x14ac:dyDescent="0.3">
      <c r="A65" s="35"/>
      <c r="B65" s="240" t="s">
        <v>44</v>
      </c>
      <c r="C65" s="229" t="s">
        <v>313</v>
      </c>
      <c r="D65" s="256">
        <v>0</v>
      </c>
      <c r="E65" s="35"/>
    </row>
    <row r="66" spans="1:5" x14ac:dyDescent="0.3">
      <c r="A66" s="35"/>
      <c r="B66" s="240" t="s">
        <v>45</v>
      </c>
      <c r="C66" s="229" t="s">
        <v>1</v>
      </c>
      <c r="D66" s="256">
        <f>IF(OR($D$64="NPK granulados",$D$64="NPK solubles"),"",VLOOKUP($D$64,FERTILIZANTES!$H$12:$K$30,2,FALSE))</f>
        <v>0</v>
      </c>
      <c r="E66" s="35"/>
    </row>
    <row r="67" spans="1:5" x14ac:dyDescent="0.3">
      <c r="A67" s="35"/>
      <c r="B67" s="240" t="s">
        <v>81</v>
      </c>
      <c r="C67" s="229" t="s">
        <v>1</v>
      </c>
      <c r="D67" s="256">
        <f>IF(OR($D$64="NPK granulados",$D$64="NPK solubles"),"",VLOOKUP($D$64,FERTILIZANTES!$H$12:$K$30,3,FALSE))</f>
        <v>0</v>
      </c>
      <c r="E67" s="35"/>
    </row>
    <row r="68" spans="1:5" x14ac:dyDescent="0.3">
      <c r="A68" s="35"/>
      <c r="B68" s="240" t="s">
        <v>82</v>
      </c>
      <c r="C68" s="229" t="s">
        <v>1</v>
      </c>
      <c r="D68" s="256">
        <f>IF(OR($D$64="NPK granulados",$D$64="NPK solubles"),"",VLOOKUP($D$64,FERTILIZANTES!$H$12:$K$30,4,FALSE))</f>
        <v>0</v>
      </c>
      <c r="E68" s="35"/>
    </row>
    <row r="69" spans="1:5" s="67" customFormat="1" x14ac:dyDescent="0.3">
      <c r="A69" s="35"/>
      <c r="B69" s="226"/>
      <c r="C69" s="35"/>
      <c r="D69" s="233"/>
      <c r="E69" s="35"/>
    </row>
    <row r="70" spans="1:5" x14ac:dyDescent="0.3">
      <c r="A70" s="35"/>
      <c r="B70" s="240" t="s">
        <v>36</v>
      </c>
      <c r="C70" s="229" t="s">
        <v>38</v>
      </c>
      <c r="D70" s="256" t="s">
        <v>116</v>
      </c>
      <c r="E70" s="35"/>
    </row>
    <row r="71" spans="1:5" x14ac:dyDescent="0.3">
      <c r="A71" s="35"/>
      <c r="B71" s="240" t="s">
        <v>44</v>
      </c>
      <c r="C71" s="229" t="s">
        <v>313</v>
      </c>
      <c r="D71" s="256">
        <v>0</v>
      </c>
      <c r="E71" s="35"/>
    </row>
    <row r="72" spans="1:5" x14ac:dyDescent="0.3">
      <c r="A72" s="35"/>
      <c r="B72" s="240" t="s">
        <v>45</v>
      </c>
      <c r="C72" s="229" t="s">
        <v>1</v>
      </c>
      <c r="D72" s="256">
        <f>IF(OR($D$70="NPK granulados",$D$70="NPK solubles"),"",VLOOKUP($D$70,FERTILIZANTES!$H$12:$K$30,2,FALSE))</f>
        <v>0</v>
      </c>
      <c r="E72" s="35"/>
    </row>
    <row r="73" spans="1:5" x14ac:dyDescent="0.3">
      <c r="A73" s="35"/>
      <c r="B73" s="240" t="s">
        <v>81</v>
      </c>
      <c r="C73" s="229" t="s">
        <v>1</v>
      </c>
      <c r="D73" s="256">
        <f>IF(OR($D$70="NPK granulados",$D$70="NPK solubles"),"",VLOOKUP($D$70,FERTILIZANTES!$H$12:$K$30,3,FALSE))</f>
        <v>0</v>
      </c>
      <c r="E73" s="35"/>
    </row>
    <row r="74" spans="1:5" x14ac:dyDescent="0.3">
      <c r="A74" s="35"/>
      <c r="B74" s="240" t="s">
        <v>82</v>
      </c>
      <c r="C74" s="229" t="s">
        <v>1</v>
      </c>
      <c r="D74" s="256">
        <f>IF(OR($D$70="NPK granulados",$D$70="NPK solubles"),"",VLOOKUP($D$70,FERTILIZANTES!$H$12:$K$30,4,FALSE))</f>
        <v>0</v>
      </c>
      <c r="E74" s="35"/>
    </row>
    <row r="75" spans="1:5" s="67" customFormat="1" x14ac:dyDescent="0.3">
      <c r="A75" s="35"/>
      <c r="B75" s="226"/>
      <c r="C75" s="35"/>
      <c r="D75" s="233"/>
      <c r="E75" s="35"/>
    </row>
    <row r="76" spans="1:5" x14ac:dyDescent="0.3">
      <c r="A76" s="35"/>
      <c r="B76" s="240" t="s">
        <v>37</v>
      </c>
      <c r="C76" s="229" t="s">
        <v>38</v>
      </c>
      <c r="D76" s="256" t="s">
        <v>116</v>
      </c>
      <c r="E76" s="35"/>
    </row>
    <row r="77" spans="1:5" x14ac:dyDescent="0.3">
      <c r="A77" s="35"/>
      <c r="B77" s="240" t="s">
        <v>44</v>
      </c>
      <c r="C77" s="229" t="s">
        <v>313</v>
      </c>
      <c r="D77" s="256">
        <v>0</v>
      </c>
      <c r="E77" s="35"/>
    </row>
    <row r="78" spans="1:5" x14ac:dyDescent="0.3">
      <c r="A78" s="35"/>
      <c r="B78" s="240" t="s">
        <v>45</v>
      </c>
      <c r="C78" s="229" t="s">
        <v>1</v>
      </c>
      <c r="D78" s="256">
        <f>IF(OR($D$76="NPK granulados",$D$76="NPK solubles"),"",VLOOKUP($D$76,FERTILIZANTES!$H$12:$K$30,2,FALSE))</f>
        <v>0</v>
      </c>
      <c r="E78" s="35"/>
    </row>
    <row r="79" spans="1:5" x14ac:dyDescent="0.3">
      <c r="A79" s="35"/>
      <c r="B79" s="240" t="s">
        <v>81</v>
      </c>
      <c r="C79" s="229" t="s">
        <v>1</v>
      </c>
      <c r="D79" s="256">
        <f>IF(OR($D$76="NPK granulados",$D$76="NPK solubles"),"",VLOOKUP($D$76,FERTILIZANTES!$H$12:$K$30,3,FALSE))</f>
        <v>0</v>
      </c>
      <c r="E79" s="35"/>
    </row>
    <row r="80" spans="1:5" x14ac:dyDescent="0.3">
      <c r="A80" s="35"/>
      <c r="B80" s="240" t="s">
        <v>82</v>
      </c>
      <c r="C80" s="229" t="s">
        <v>1</v>
      </c>
      <c r="D80" s="256">
        <f>IF(OR($D$76="NPK granulados",$D$76="NPK solubles"),"",VLOOKUP($D$76,FERTILIZANTES!$H$12:$K$30,4,FALSE))</f>
        <v>0</v>
      </c>
      <c r="E80" s="35"/>
    </row>
    <row r="81" spans="1:5" s="67" customFormat="1" x14ac:dyDescent="0.3">
      <c r="A81" s="35"/>
      <c r="B81" s="226"/>
      <c r="C81" s="35"/>
      <c r="D81" s="233"/>
      <c r="E81" s="35"/>
    </row>
    <row r="82" spans="1:5" s="67" customFormat="1" ht="15" thickBot="1" x14ac:dyDescent="0.35">
      <c r="A82" s="35"/>
      <c r="B82" s="35"/>
      <c r="C82" s="35"/>
      <c r="D82" s="35"/>
      <c r="E82" s="35"/>
    </row>
    <row r="83" spans="1:5" ht="24" thickBot="1" x14ac:dyDescent="0.5">
      <c r="A83" s="35"/>
      <c r="B83" s="301" t="s">
        <v>331</v>
      </c>
      <c r="C83" s="302"/>
      <c r="D83" s="303"/>
      <c r="E83" s="235"/>
    </row>
    <row r="84" spans="1:5" s="67" customFormat="1" x14ac:dyDescent="0.3">
      <c r="A84" s="35"/>
      <c r="B84" s="238"/>
      <c r="E84" s="35"/>
    </row>
    <row r="85" spans="1:5" s="67" customFormat="1" x14ac:dyDescent="0.3">
      <c r="A85" s="35"/>
      <c r="B85" s="238"/>
      <c r="C85" s="227" t="s">
        <v>13</v>
      </c>
      <c r="D85" s="228" t="s">
        <v>14</v>
      </c>
      <c r="E85" s="35"/>
    </row>
    <row r="86" spans="1:5" s="67" customFormat="1" ht="16.2" x14ac:dyDescent="0.3">
      <c r="A86" s="35"/>
      <c r="B86" s="239" t="s">
        <v>319</v>
      </c>
      <c r="C86" s="229" t="s">
        <v>318</v>
      </c>
      <c r="D86" s="255"/>
    </row>
    <row r="87" spans="1:5" x14ac:dyDescent="0.3">
      <c r="A87" s="35"/>
      <c r="B87" s="286" t="s">
        <v>256</v>
      </c>
      <c r="C87" s="286"/>
      <c r="D87" s="254" t="s">
        <v>116</v>
      </c>
      <c r="E87" s="35"/>
    </row>
    <row r="88" spans="1:5" x14ac:dyDescent="0.3">
      <c r="A88" s="35"/>
      <c r="B88" s="229" t="s">
        <v>147</v>
      </c>
      <c r="C88" s="229" t="s">
        <v>1</v>
      </c>
      <c r="D88" s="254" t="s">
        <v>116</v>
      </c>
      <c r="E88" s="35"/>
    </row>
    <row r="89" spans="1:5" x14ac:dyDescent="0.3">
      <c r="A89" s="35"/>
      <c r="B89" s="229" t="s">
        <v>189</v>
      </c>
      <c r="C89" s="229" t="s">
        <v>1</v>
      </c>
      <c r="D89" s="254" t="s">
        <v>116</v>
      </c>
      <c r="E89" s="35"/>
    </row>
    <row r="90" spans="1:5" x14ac:dyDescent="0.3">
      <c r="A90" s="35"/>
      <c r="B90" s="286" t="s">
        <v>178</v>
      </c>
      <c r="C90" s="286"/>
      <c r="D90" s="254" t="s">
        <v>116</v>
      </c>
      <c r="E90" s="35"/>
    </row>
    <row r="91" spans="1:5" ht="15" thickBot="1" x14ac:dyDescent="0.35">
      <c r="A91" s="35"/>
      <c r="B91" s="74"/>
      <c r="C91" s="209"/>
      <c r="D91" s="74"/>
      <c r="E91" s="35"/>
    </row>
    <row r="92" spans="1:5" ht="24" thickBot="1" x14ac:dyDescent="0.5">
      <c r="A92" s="35"/>
      <c r="B92" s="304" t="s">
        <v>296</v>
      </c>
      <c r="C92" s="305"/>
      <c r="D92" s="306"/>
      <c r="E92" s="236"/>
    </row>
    <row r="93" spans="1:5" s="67" customFormat="1" x14ac:dyDescent="0.3">
      <c r="A93" s="35"/>
      <c r="B93" s="35"/>
      <c r="E93" s="35"/>
    </row>
    <row r="94" spans="1:5" s="67" customFormat="1" x14ac:dyDescent="0.3">
      <c r="A94" s="35"/>
      <c r="B94" s="35"/>
      <c r="C94" s="227"/>
      <c r="D94" s="248"/>
      <c r="E94" s="35"/>
    </row>
    <row r="95" spans="1:5" s="67" customFormat="1" x14ac:dyDescent="0.3">
      <c r="A95" s="35"/>
      <c r="B95" s="35"/>
      <c r="C95" s="227"/>
      <c r="D95" s="248"/>
      <c r="E95" s="35"/>
    </row>
    <row r="96" spans="1:5" s="67" customFormat="1" x14ac:dyDescent="0.3">
      <c r="A96" s="35"/>
      <c r="B96" s="35"/>
      <c r="C96" s="227"/>
      <c r="D96" s="248"/>
      <c r="E96" s="35"/>
    </row>
    <row r="97" spans="1:5" s="67" customFormat="1" x14ac:dyDescent="0.3">
      <c r="A97" s="35"/>
      <c r="B97" s="35"/>
      <c r="C97" s="227"/>
      <c r="D97" s="248"/>
      <c r="E97" s="35"/>
    </row>
    <row r="98" spans="1:5" s="67" customFormat="1" x14ac:dyDescent="0.3">
      <c r="A98" s="35"/>
      <c r="B98" s="35"/>
      <c r="C98" s="227"/>
      <c r="D98" s="248"/>
      <c r="E98" s="35"/>
    </row>
    <row r="99" spans="1:5" s="67" customFormat="1" x14ac:dyDescent="0.3">
      <c r="A99" s="35"/>
      <c r="B99" s="35"/>
      <c r="C99" s="227"/>
      <c r="D99" s="248"/>
      <c r="E99" s="35"/>
    </row>
    <row r="100" spans="1:5" s="67" customFormat="1" x14ac:dyDescent="0.3">
      <c r="A100" s="35"/>
      <c r="B100" s="35"/>
      <c r="C100" s="227"/>
      <c r="D100" s="248"/>
      <c r="E100" s="35"/>
    </row>
    <row r="101" spans="1:5" s="67" customFormat="1" ht="18" x14ac:dyDescent="0.35">
      <c r="A101" s="35"/>
      <c r="B101" s="245" t="s">
        <v>8</v>
      </c>
      <c r="C101" s="227" t="s">
        <v>13</v>
      </c>
      <c r="D101" s="248" t="s">
        <v>305</v>
      </c>
      <c r="E101" s="35"/>
    </row>
    <row r="102" spans="1:5" x14ac:dyDescent="0.3">
      <c r="A102" s="35"/>
      <c r="B102" s="251" t="s">
        <v>302</v>
      </c>
      <c r="C102" s="252" t="s">
        <v>314</v>
      </c>
      <c r="D102" s="223" t="e">
        <f>'Balance de Nutrientes oculto'!AB33</f>
        <v>#VALUE!</v>
      </c>
      <c r="E102" s="35"/>
    </row>
    <row r="103" spans="1:5" x14ac:dyDescent="0.3">
      <c r="A103" s="35"/>
      <c r="B103" s="251" t="s">
        <v>303</v>
      </c>
      <c r="C103" s="252" t="s">
        <v>315</v>
      </c>
      <c r="D103" s="223" t="e">
        <f>'Balance de Nutrientes oculto'!AB34</f>
        <v>#VALUE!</v>
      </c>
      <c r="E103" s="35"/>
    </row>
    <row r="104" spans="1:5" x14ac:dyDescent="0.3">
      <c r="A104" s="35"/>
      <c r="B104" s="251" t="s">
        <v>304</v>
      </c>
      <c r="C104" s="252" t="s">
        <v>316</v>
      </c>
      <c r="D104" s="223" t="e">
        <f>'Balance de Nutrientes oculto'!AB35</f>
        <v>#VALUE!</v>
      </c>
      <c r="E104" s="35"/>
    </row>
    <row r="105" spans="1:5" s="67" customFormat="1" x14ac:dyDescent="0.3">
      <c r="A105" s="35"/>
      <c r="B105" s="246"/>
      <c r="C105" s="246"/>
      <c r="D105" s="250"/>
      <c r="E105" s="35"/>
    </row>
    <row r="106" spans="1:5" s="67" customFormat="1" ht="18" x14ac:dyDescent="0.35">
      <c r="A106" s="35"/>
      <c r="B106" s="245" t="s">
        <v>311</v>
      </c>
      <c r="C106" s="35"/>
      <c r="D106" s="249"/>
      <c r="E106" s="35"/>
    </row>
    <row r="107" spans="1:5" x14ac:dyDescent="0.3">
      <c r="A107" s="35"/>
      <c r="B107" s="253" t="s">
        <v>199</v>
      </c>
      <c r="C107" s="252" t="s">
        <v>314</v>
      </c>
      <c r="D107" s="222">
        <f>'Balance de Nutrientes oculto'!G16</f>
        <v>0</v>
      </c>
    </row>
    <row r="108" spans="1:5" x14ac:dyDescent="0.3">
      <c r="A108" s="35"/>
      <c r="B108" s="253" t="s">
        <v>200</v>
      </c>
      <c r="C108" s="252" t="s">
        <v>315</v>
      </c>
      <c r="D108" s="222">
        <f>'Balance de Nutrientes oculto'!G17</f>
        <v>0</v>
      </c>
    </row>
    <row r="109" spans="1:5" x14ac:dyDescent="0.3">
      <c r="A109" s="35"/>
      <c r="B109" s="253" t="s">
        <v>201</v>
      </c>
      <c r="C109" s="252" t="s">
        <v>316</v>
      </c>
      <c r="D109" s="222">
        <f>'Balance de Nutrientes oculto'!G18</f>
        <v>0</v>
      </c>
    </row>
    <row r="110" spans="1:5" ht="15" thickBot="1" x14ac:dyDescent="0.35">
      <c r="A110" s="35"/>
      <c r="B110" s="35"/>
      <c r="C110" s="35"/>
      <c r="D110" s="35"/>
    </row>
    <row r="111" spans="1:5" ht="24" thickBot="1" x14ac:dyDescent="0.5">
      <c r="A111" s="35"/>
      <c r="B111" s="304" t="s">
        <v>309</v>
      </c>
      <c r="C111" s="305"/>
      <c r="D111" s="306"/>
      <c r="E111" s="237"/>
    </row>
    <row r="112" spans="1:5" s="67" customFormat="1" ht="15" thickBot="1" x14ac:dyDescent="0.35">
      <c r="A112" s="35"/>
      <c r="B112" s="35"/>
      <c r="C112" s="227"/>
      <c r="D112" s="227"/>
      <c r="E112" s="35"/>
    </row>
    <row r="113" spans="1:5" ht="46.8" customHeight="1" thickBot="1" x14ac:dyDescent="0.35">
      <c r="A113" s="35"/>
      <c r="B113" s="224"/>
      <c r="C113" s="292" t="e">
        <f>IF(D102&gt;20,
"Exceso notable de N. Reduce la dosis el año que viene en torno a un 20–40%, evitando que exceda los 150 kg N/ha.",
IF(D102&gt;10,
"Exceso ligero de N. Reduce ligeramente la dosis (10–20%).",
IF(D102&gt;=-10,
"Nivel correcto de N. Mantén la pauta actual.",
IF(D102&gt;=-20,
"Déficit ligero de N. Ajusta la dosis para reponer el N extraído.",
"Déficit alto de N. Aumenta la dosis de N. Regla general: aportar 5 kg N por tonelada de aceituna producida."
))))</f>
        <v>#VALUE!</v>
      </c>
      <c r="D113" s="293"/>
      <c r="E113" s="35"/>
    </row>
    <row r="114" spans="1:5" ht="46.8" customHeight="1" thickBot="1" x14ac:dyDescent="0.35">
      <c r="A114" s="35"/>
      <c r="B114" s="224"/>
      <c r="C114" s="292" t="e">
        <f>IF(D103&gt;5,
"Exceso de P. No conviene que apliques P la próxima campaña o solo una pequeña dosis de mantenimiento.",
IF(D103&gt;=-5,
"Nivel correcto de P. Mantén la pauta.",
"Déficit de P. Conviene reponer algo de P, a razón de 10–20 kg/ha (23–46 kg P₂O₅/ha)."
))</f>
        <v>#VALUE!</v>
      </c>
      <c r="D114" s="293"/>
      <c r="E114" s="35"/>
    </row>
    <row r="115" spans="1:5" ht="46.8" customHeight="1" thickBot="1" x14ac:dyDescent="0.35">
      <c r="A115" s="35"/>
      <c r="B115" s="224"/>
      <c r="C115" s="292" t="e">
        <f>IF(D104&gt;20,
"Exceso de K. Reduce la dosis de K entre un 10–30%, sobre todo si esta última cosecha fue baja.",
IF(D104&gt;=-20,
"Nivel correcto de K. Mantén la pauta.",
"Déficit de K. Aplica 50–100 kg K/ha (60–120 kg K₂O/ha). Como regla general, añade 10 kg de K por cada tonelada de aceituna producida."
))</f>
        <v>#VALUE!</v>
      </c>
      <c r="D115" s="293"/>
      <c r="E115" s="35"/>
    </row>
    <row r="116" spans="1:5" s="67" customFormat="1" x14ac:dyDescent="0.3">
      <c r="A116" s="35"/>
      <c r="B116" s="35"/>
      <c r="C116" s="227"/>
      <c r="D116" s="227"/>
      <c r="E116" s="35"/>
    </row>
    <row r="117" spans="1:5" x14ac:dyDescent="0.3"/>
    <row r="136" ht="18" hidden="1" customHeight="1" x14ac:dyDescent="0.3"/>
    <row r="137" ht="13.2" hidden="1" customHeight="1" x14ac:dyDescent="0.3"/>
  </sheetData>
  <sheetProtection algorithmName="SHA-512" hashValue="1XLOhor41OKn3upg7uvkuFa9ee3jW3cJeC3/wyXRkLcff9NzoSN9cjmGkmbaijZa/dwxE7HMmJmulRLLOTYPRQ==" saltValue="OCPeYP9RHruribJRpQXdNA==" spinCount="100000" sheet="1" objects="1" scenarios="1"/>
  <mergeCells count="21">
    <mergeCell ref="C113:D113"/>
    <mergeCell ref="C114:D114"/>
    <mergeCell ref="C115:D115"/>
    <mergeCell ref="B9:D9"/>
    <mergeCell ref="B8:D8"/>
    <mergeCell ref="B10:D10"/>
    <mergeCell ref="B12:D12"/>
    <mergeCell ref="B87:C87"/>
    <mergeCell ref="B90:C90"/>
    <mergeCell ref="B20:D20"/>
    <mergeCell ref="B92:D92"/>
    <mergeCell ref="B83:D83"/>
    <mergeCell ref="B111:D111"/>
    <mergeCell ref="B45:D45"/>
    <mergeCell ref="B2:D2"/>
    <mergeCell ref="B3:D3"/>
    <mergeCell ref="B4:D4"/>
    <mergeCell ref="B28:C28"/>
    <mergeCell ref="B26:C26"/>
    <mergeCell ref="B27:C27"/>
    <mergeCell ref="B6:D6"/>
  </mergeCells>
  <conditionalFormatting sqref="D102">
    <cfRule type="cellIs" dxfId="20" priority="7" operator="lessThan">
      <formula>-20</formula>
    </cfRule>
    <cfRule type="cellIs" dxfId="19" priority="8" operator="between">
      <formula>-20</formula>
      <formula>-10</formula>
    </cfRule>
    <cfRule type="cellIs" dxfId="18" priority="9" operator="between">
      <formula>-10</formula>
      <formula>10</formula>
    </cfRule>
    <cfRule type="cellIs" dxfId="17" priority="10" operator="between">
      <formula>10</formula>
      <formula>20</formula>
    </cfRule>
    <cfRule type="cellIs" dxfId="16" priority="11" operator="greaterThan">
      <formula>20</formula>
    </cfRule>
  </conditionalFormatting>
  <conditionalFormatting sqref="D103">
    <cfRule type="cellIs" dxfId="15" priority="4" operator="lessThan">
      <formula>-5</formula>
    </cfRule>
    <cfRule type="cellIs" dxfId="14" priority="5" operator="between">
      <formula>-5</formula>
      <formula>5</formula>
    </cfRule>
    <cfRule type="cellIs" dxfId="13" priority="6" operator="greaterThan">
      <formula>5</formula>
    </cfRule>
  </conditionalFormatting>
  <conditionalFormatting sqref="D104">
    <cfRule type="cellIs" dxfId="12" priority="1" operator="lessThan">
      <formula>-20</formula>
    </cfRule>
    <cfRule type="cellIs" dxfId="11" priority="2" operator="between">
      <formula>-20</formula>
      <formula>20</formula>
    </cfRule>
    <cfRule type="cellIs" dxfId="10" priority="3" operator="greaterThan">
      <formula>20</formula>
    </cfRule>
  </conditionalFormatting>
  <pageMargins left="0.7" right="0.7" top="0.75" bottom="0.75" header="0.3" footer="0.3"/>
  <pageSetup paperSize="9" orientation="portrait" r:id="rId1"/>
  <ignoredErrors>
    <ignoredError sqref="D103:D104" evalError="1"/>
    <ignoredError sqref="D72:D74 D78:D80" unlockedFormula="1"/>
  </ignoredErrors>
  <drawing r:id="rId2"/>
  <picture r:id="rId3"/>
  <extLst>
    <ext xmlns:x14="http://schemas.microsoft.com/office/spreadsheetml/2009/9/main" uri="{CCE6A557-97BC-4b89-ADB6-D9C93CAAB3DF}">
      <x14:dataValidations xmlns:xm="http://schemas.microsoft.com/office/excel/2006/main" count="10">
        <x14:dataValidation type="list" allowBlank="1" showInputMessage="1" showErrorMessage="1" xr:uid="{6964848D-76EF-466B-877A-BD0899FF67A8}">
          <x14:formula1>
            <xm:f>FERTILIZANTES!$B$43:$B$45</xm:f>
          </x14:formula1>
          <xm:sqref>D87</xm:sqref>
        </x14:dataValidation>
        <x14:dataValidation type="list" allowBlank="1" showInputMessage="1" showErrorMessage="1" xr:uid="{159802C8-CFD2-47FD-AD69-E01F4E94AAE9}">
          <x14:formula1>
            <xm:f>FERTILIZANTES!$E$38:$E$40</xm:f>
          </x14:formula1>
          <xm:sqref>D28</xm:sqref>
        </x14:dataValidation>
        <x14:dataValidation type="list" allowBlank="1" showInputMessage="1" showErrorMessage="1" xr:uid="{87A812B7-2EA1-4BA2-9AF8-BD2AF31A2D3A}">
          <x14:formula1>
            <xm:f>FERTILIZANTES!$H$13:$H$29</xm:f>
          </x14:formula1>
          <xm:sqref>D46 D76 D70 D64 D58 D52</xm:sqref>
        </x14:dataValidation>
        <x14:dataValidation type="list" allowBlank="1" showInputMessage="1" showErrorMessage="1" xr:uid="{19C47F61-3E32-4766-8D66-11B534DD2F8B}">
          <x14:formula1>
            <xm:f>FERTILIZANTES!$E$3:$E$6</xm:f>
          </x14:formula1>
          <xm:sqref>D27</xm:sqref>
        </x14:dataValidation>
        <x14:dataValidation type="list" allowBlank="1" showInputMessage="1" showErrorMessage="1" xr:uid="{20337EE5-4863-4493-BB26-4CF644D78737}">
          <x14:formula1>
            <xm:f>FERTILIZANTES!$C$3:$C$7</xm:f>
          </x14:formula1>
          <xm:sqref>D26</xm:sqref>
        </x14:dataValidation>
        <x14:dataValidation type="list" allowBlank="1" showInputMessage="1" showErrorMessage="1" xr:uid="{3FEF86D6-B198-401C-9E49-F5F262F17065}">
          <x14:formula1>
            <xm:f>FERTILIZANTES!$B$3:$B$5</xm:f>
          </x14:formula1>
          <xm:sqref>D25</xm:sqref>
        </x14:dataValidation>
        <x14:dataValidation type="list" allowBlank="1" showInputMessage="1" showErrorMessage="1" xr:uid="{EAFAD062-1011-4016-8099-192DEC41B27C}">
          <x14:formula1>
            <xm:f>FERTILIZANTES!$E$27:$E$30</xm:f>
          </x14:formula1>
          <xm:sqref>D88</xm:sqref>
        </x14:dataValidation>
        <x14:dataValidation type="list" allowBlank="1" showInputMessage="1" showErrorMessage="1" xr:uid="{BAAE2DA6-50B6-4B8A-9892-F5035815C567}">
          <x14:formula1>
            <xm:f>FERTILIZANTES!$B$34:$B$38</xm:f>
          </x14:formula1>
          <xm:sqref>D90</xm:sqref>
        </x14:dataValidation>
        <x14:dataValidation type="list" allowBlank="1" showInputMessage="1" showErrorMessage="1" xr:uid="{6E323293-3015-4616-96D1-B10F67BBA7F3}">
          <x14:formula1>
            <xm:f>FERTILIZANTES!$B$27:$B$31</xm:f>
          </x14:formula1>
          <xm:sqref>D89</xm:sqref>
        </x14:dataValidation>
        <x14:dataValidation type="list" allowBlank="1" showInputMessage="1" showErrorMessage="1" xr:uid="{558D10B9-4595-46EF-B868-0BFE486357C0}">
          <x14:formula1>
            <xm:f>FERTILIZANTES!$B$12:$B$22</xm:f>
          </x14:formula1>
          <xm:sqref>D39 D36 D33 D30 D42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9509-15E7-4D03-8907-56BF7DFB9A5E}">
  <dimension ref="B1:AN157"/>
  <sheetViews>
    <sheetView showGridLines="0" topLeftCell="P52" zoomScale="70" zoomScaleNormal="70" workbookViewId="0">
      <selection activeCell="U72" sqref="U72"/>
    </sheetView>
  </sheetViews>
  <sheetFormatPr baseColWidth="10" defaultRowHeight="14.4" x14ac:dyDescent="0.3"/>
  <cols>
    <col min="1" max="1" width="3.44140625" customWidth="1"/>
    <col min="2" max="2" width="4.44140625" customWidth="1"/>
    <col min="4" max="4" width="31.21875" customWidth="1"/>
    <col min="5" max="5" width="13.33203125" customWidth="1"/>
    <col min="6" max="6" width="10.33203125" customWidth="1"/>
    <col min="7" max="7" width="9.33203125" customWidth="1"/>
    <col min="8" max="8" width="4" customWidth="1"/>
    <col min="9" max="9" width="3.88671875" customWidth="1"/>
    <col min="10" max="10" width="3" customWidth="1"/>
    <col min="11" max="11" width="12.6640625" customWidth="1"/>
    <col min="12" max="12" width="108.21875" style="2" customWidth="1"/>
    <col min="13" max="13" width="16.5546875" customWidth="1"/>
    <col min="14" max="14" width="31.77734375" customWidth="1"/>
    <col min="15" max="15" width="4.109375" customWidth="1"/>
    <col min="16" max="16" width="7.44140625" customWidth="1"/>
    <col min="17" max="17" width="5.33203125" customWidth="1"/>
    <col min="18" max="18" width="21.44140625" customWidth="1"/>
    <col min="19" max="19" width="86.33203125" customWidth="1"/>
    <col min="20" max="20" width="16.6640625" customWidth="1"/>
    <col min="21" max="21" width="32.88671875" customWidth="1"/>
    <col min="22" max="22" width="5" customWidth="1"/>
    <col min="23" max="23" width="7.44140625" customWidth="1"/>
    <col min="24" max="24" width="7.33203125" customWidth="1"/>
    <col min="25" max="25" width="21" customWidth="1"/>
    <col min="26" max="26" width="60.77734375" customWidth="1"/>
    <col min="27" max="27" width="13.33203125" bestFit="1" customWidth="1"/>
    <col min="28" max="28" width="12.6640625" customWidth="1"/>
    <col min="29" max="29" width="11.5546875" customWidth="1"/>
    <col min="30" max="30" width="6.33203125" customWidth="1"/>
    <col min="33" max="33" width="33" bestFit="1" customWidth="1"/>
    <col min="34" max="34" width="13" customWidth="1"/>
    <col min="35" max="35" width="20.6640625" customWidth="1"/>
    <col min="36" max="36" width="10.6640625" customWidth="1"/>
    <col min="37" max="37" width="7.21875" customWidth="1"/>
  </cols>
  <sheetData>
    <row r="1" spans="2:30" ht="15" thickBot="1" x14ac:dyDescent="0.35"/>
    <row r="2" spans="2:30" ht="28.8" customHeight="1" x14ac:dyDescent="0.3">
      <c r="B2" s="162"/>
      <c r="C2" s="163" t="s">
        <v>62</v>
      </c>
      <c r="D2" s="163"/>
      <c r="E2" s="163"/>
      <c r="F2" s="163"/>
      <c r="G2" s="163"/>
      <c r="H2" s="163"/>
      <c r="I2" s="163"/>
      <c r="J2" s="163"/>
      <c r="K2" s="163"/>
      <c r="L2" s="163"/>
      <c r="M2" s="163"/>
      <c r="N2" s="164"/>
      <c r="O2" s="35"/>
      <c r="P2" s="35"/>
      <c r="Q2" s="35"/>
      <c r="R2" s="35"/>
    </row>
    <row r="3" spans="2:30" ht="14.4" customHeight="1" x14ac:dyDescent="0.3">
      <c r="B3" s="165"/>
      <c r="C3" s="166"/>
      <c r="D3" s="166"/>
      <c r="E3" s="166"/>
      <c r="F3" s="166"/>
      <c r="G3" s="166"/>
      <c r="H3" s="166"/>
      <c r="I3" s="166"/>
      <c r="J3" s="166"/>
      <c r="K3" s="166"/>
      <c r="L3" s="166"/>
      <c r="M3" s="166"/>
      <c r="N3" s="167"/>
      <c r="O3" s="35"/>
      <c r="P3" s="35"/>
      <c r="Q3" s="35"/>
      <c r="R3" s="35"/>
    </row>
    <row r="4" spans="2:30" ht="14.4" customHeight="1" x14ac:dyDescent="0.3">
      <c r="B4" s="165"/>
      <c r="C4" s="166"/>
      <c r="D4" s="166"/>
      <c r="E4" s="166"/>
      <c r="F4" s="166"/>
      <c r="G4" s="166"/>
      <c r="H4" s="166"/>
      <c r="I4" s="166"/>
      <c r="J4" s="166"/>
      <c r="K4" s="166"/>
      <c r="L4" s="166"/>
      <c r="M4" s="166"/>
      <c r="N4" s="167"/>
      <c r="O4" s="35"/>
      <c r="P4" s="35"/>
      <c r="Q4" s="35"/>
      <c r="R4" s="35"/>
    </row>
    <row r="5" spans="2:30" ht="15" customHeight="1" thickBot="1" x14ac:dyDescent="0.35">
      <c r="B5" s="168"/>
      <c r="C5" s="169"/>
      <c r="D5" s="169"/>
      <c r="E5" s="169"/>
      <c r="F5" s="169"/>
      <c r="G5" s="169"/>
      <c r="H5" s="169"/>
      <c r="I5" s="169"/>
      <c r="J5" s="169"/>
      <c r="K5" s="169"/>
      <c r="L5" s="169"/>
      <c r="M5" s="169"/>
      <c r="N5" s="170"/>
      <c r="O5" s="35"/>
      <c r="P5" s="35"/>
      <c r="Q5" s="35"/>
      <c r="R5" s="35"/>
    </row>
    <row r="6" spans="2:30" s="4" customFormat="1" ht="15" thickBot="1" x14ac:dyDescent="0.35">
      <c r="J6" s="6"/>
      <c r="K6" s="6"/>
      <c r="L6" s="5"/>
      <c r="M6" s="6"/>
      <c r="N6" s="6"/>
      <c r="O6" s="6"/>
      <c r="X6" s="6"/>
      <c r="Y6" s="6"/>
      <c r="Z6" s="5"/>
      <c r="AA6" s="6"/>
      <c r="AB6" s="6"/>
      <c r="AC6" s="6"/>
    </row>
    <row r="7" spans="2:30" ht="15" thickTop="1" x14ac:dyDescent="0.3">
      <c r="B7" s="134"/>
      <c r="C7" s="135"/>
      <c r="D7" s="136"/>
      <c r="E7" s="135"/>
      <c r="F7" s="135"/>
      <c r="G7" s="135"/>
      <c r="H7" s="137"/>
      <c r="J7" s="134"/>
      <c r="K7" s="135"/>
      <c r="L7" s="136"/>
      <c r="M7" s="135"/>
      <c r="N7" s="135"/>
      <c r="O7" s="137"/>
      <c r="Q7" s="134"/>
      <c r="R7" s="135"/>
      <c r="S7" s="135"/>
      <c r="T7" s="135"/>
      <c r="U7" s="135"/>
      <c r="V7" s="137"/>
      <c r="X7" s="134"/>
      <c r="Y7" s="135"/>
      <c r="Z7" s="136"/>
      <c r="AA7" s="135"/>
      <c r="AB7" s="135"/>
      <c r="AC7" s="135"/>
      <c r="AD7" s="137"/>
    </row>
    <row r="8" spans="2:30" ht="23.4" x14ac:dyDescent="0.45">
      <c r="B8" s="138"/>
      <c r="C8" s="317" t="s">
        <v>194</v>
      </c>
      <c r="D8" s="317"/>
      <c r="E8" s="317"/>
      <c r="F8" s="317"/>
      <c r="G8" s="160"/>
      <c r="H8" s="139"/>
      <c r="J8" s="138"/>
      <c r="K8" s="318" t="s">
        <v>11</v>
      </c>
      <c r="L8" s="319"/>
      <c r="M8" s="319"/>
      <c r="N8" s="319"/>
      <c r="O8" s="139"/>
      <c r="Q8" s="138"/>
      <c r="R8" s="320" t="s">
        <v>47</v>
      </c>
      <c r="S8" s="320"/>
      <c r="T8" s="320"/>
      <c r="U8" s="320"/>
      <c r="V8" s="139"/>
      <c r="X8" s="138"/>
      <c r="Y8" s="321" t="s">
        <v>296</v>
      </c>
      <c r="Z8" s="321"/>
      <c r="AA8" s="321"/>
      <c r="AB8" s="321"/>
      <c r="AC8" s="16"/>
      <c r="AD8" s="139"/>
    </row>
    <row r="9" spans="2:30" ht="24" customHeight="1" x14ac:dyDescent="0.3">
      <c r="B9" s="138"/>
      <c r="C9" s="16"/>
      <c r="D9" s="16"/>
      <c r="E9" s="16"/>
      <c r="F9" s="16"/>
      <c r="G9" s="16"/>
      <c r="H9" s="139"/>
      <c r="J9" s="138"/>
      <c r="K9" s="11"/>
      <c r="L9" s="12"/>
      <c r="M9" s="12" t="s">
        <v>13</v>
      </c>
      <c r="N9" s="13" t="s">
        <v>14</v>
      </c>
      <c r="O9" s="139"/>
      <c r="Q9" s="138"/>
      <c r="R9" s="11"/>
      <c r="S9" s="12"/>
      <c r="T9" s="12" t="s">
        <v>13</v>
      </c>
      <c r="U9" s="13" t="s">
        <v>14</v>
      </c>
      <c r="V9" s="139"/>
      <c r="X9" s="138"/>
      <c r="Y9" s="16"/>
      <c r="Z9" s="12"/>
      <c r="AA9" s="12" t="s">
        <v>13</v>
      </c>
      <c r="AB9" s="13" t="s">
        <v>14</v>
      </c>
      <c r="AC9" s="16"/>
      <c r="AD9" s="139"/>
    </row>
    <row r="10" spans="2:30" ht="18" x14ac:dyDescent="0.35">
      <c r="B10" s="138"/>
      <c r="C10" s="16"/>
      <c r="D10" s="12"/>
      <c r="E10" s="12" t="s">
        <v>13</v>
      </c>
      <c r="F10" s="171"/>
      <c r="G10" s="13" t="s">
        <v>14</v>
      </c>
      <c r="H10" s="139"/>
      <c r="J10" s="138"/>
      <c r="K10" s="14" t="s">
        <v>12</v>
      </c>
      <c r="L10" s="15"/>
      <c r="M10" s="16"/>
      <c r="N10" s="16"/>
      <c r="O10" s="139"/>
      <c r="P10" s="1"/>
      <c r="Q10" s="138"/>
      <c r="R10" s="46" t="s">
        <v>48</v>
      </c>
      <c r="S10" s="53"/>
      <c r="T10" s="11"/>
      <c r="U10" s="16"/>
      <c r="V10" s="139"/>
      <c r="X10" s="138"/>
      <c r="Y10" s="55" t="s">
        <v>152</v>
      </c>
      <c r="Z10" s="15"/>
      <c r="AA10" s="16"/>
      <c r="AB10" s="16"/>
      <c r="AC10" s="16"/>
      <c r="AD10" s="139"/>
    </row>
    <row r="11" spans="2:30" ht="18" x14ac:dyDescent="0.35">
      <c r="B11" s="138"/>
      <c r="C11" s="55"/>
      <c r="D11" s="15"/>
      <c r="E11" s="16"/>
      <c r="F11" s="16"/>
      <c r="G11" s="16"/>
      <c r="H11" s="139"/>
      <c r="J11" s="138"/>
      <c r="K11" s="17"/>
      <c r="L11" s="18" t="s">
        <v>16</v>
      </c>
      <c r="M11" s="19" t="s">
        <v>0</v>
      </c>
      <c r="N11" s="8">
        <f>'Balance de Nutrientes'!D86</f>
        <v>0</v>
      </c>
      <c r="O11" s="139"/>
      <c r="P11" s="3"/>
      <c r="Q11" s="138"/>
      <c r="R11" s="17"/>
      <c r="S11" s="28" t="s">
        <v>57</v>
      </c>
      <c r="T11" s="19" t="s">
        <v>54</v>
      </c>
      <c r="U11" s="10">
        <f>'Balance de Nutrientes'!D18</f>
        <v>0</v>
      </c>
      <c r="V11" s="144"/>
      <c r="X11" s="138"/>
      <c r="Y11" s="30"/>
      <c r="Z11" s="19" t="s">
        <v>154</v>
      </c>
      <c r="AA11" s="19" t="s">
        <v>159</v>
      </c>
      <c r="AB11" s="56">
        <f>IF(OR(ISBLANK(G12),G12&lt;=0),0,SUM(N15,N37,N42))</f>
        <v>0</v>
      </c>
      <c r="AC11" s="16"/>
      <c r="AD11" s="139"/>
    </row>
    <row r="12" spans="2:30" ht="16.2" x14ac:dyDescent="0.3">
      <c r="B12" s="138"/>
      <c r="C12" s="30"/>
      <c r="D12" s="19" t="s">
        <v>195</v>
      </c>
      <c r="E12" s="19" t="s">
        <v>196</v>
      </c>
      <c r="F12" s="19"/>
      <c r="G12" s="10">
        <f>'Balance de Nutrientes'!D15</f>
        <v>0</v>
      </c>
      <c r="H12" s="139"/>
      <c r="J12" s="138"/>
      <c r="K12" s="20"/>
      <c r="L12" s="21" t="s">
        <v>17</v>
      </c>
      <c r="M12" s="16" t="s">
        <v>4</v>
      </c>
      <c r="N12" s="23">
        <v>1.61</v>
      </c>
      <c r="O12" s="139"/>
      <c r="Q12" s="138"/>
      <c r="R12" s="41"/>
      <c r="S12" s="15" t="s">
        <v>141</v>
      </c>
      <c r="T12" s="15" t="s">
        <v>1</v>
      </c>
      <c r="U12" s="85">
        <v>5.1999999999999998E-3</v>
      </c>
      <c r="V12" s="144"/>
      <c r="X12" s="138"/>
      <c r="Y12" s="20"/>
      <c r="Z12" s="16" t="s">
        <v>155</v>
      </c>
      <c r="AA12" s="16" t="s">
        <v>159</v>
      </c>
      <c r="AB12" s="57">
        <f>SUM(N50,N100,N153)</f>
        <v>0</v>
      </c>
      <c r="AC12" s="16"/>
      <c r="AD12" s="139"/>
    </row>
    <row r="13" spans="2:30" ht="16.2" x14ac:dyDescent="0.3">
      <c r="B13" s="138"/>
      <c r="C13" s="20"/>
      <c r="D13" s="16" t="s">
        <v>197</v>
      </c>
      <c r="E13" s="16" t="s">
        <v>202</v>
      </c>
      <c r="F13" s="16"/>
      <c r="G13" s="86">
        <f>'Balance de Nutrientes'!D16</f>
        <v>0</v>
      </c>
      <c r="H13" s="139"/>
      <c r="J13" s="138"/>
      <c r="K13" s="20"/>
      <c r="L13" s="21" t="s">
        <v>63</v>
      </c>
      <c r="M13" s="16" t="s">
        <v>65</v>
      </c>
      <c r="N13" s="23">
        <v>4.5999999999999999E-2</v>
      </c>
      <c r="O13" s="139"/>
      <c r="Q13" s="138"/>
      <c r="R13" s="41"/>
      <c r="S13" s="15" t="s">
        <v>140</v>
      </c>
      <c r="T13" s="15" t="s">
        <v>1</v>
      </c>
      <c r="U13" s="83">
        <v>6.9999999999999999E-4</v>
      </c>
      <c r="V13" s="144"/>
      <c r="X13" s="138"/>
      <c r="Y13" s="20"/>
      <c r="Z13" s="16" t="s">
        <v>168</v>
      </c>
      <c r="AA13" s="16" t="s">
        <v>160</v>
      </c>
      <c r="AB13" s="57">
        <f>IF(OR(ISBLANK(G12),G12&lt;=0),0,SUM(N16,N23))</f>
        <v>0</v>
      </c>
      <c r="AC13" s="16"/>
      <c r="AD13" s="139"/>
    </row>
    <row r="14" spans="2:30" ht="16.2" x14ac:dyDescent="0.3">
      <c r="B14" s="138"/>
      <c r="C14" s="20"/>
      <c r="D14" s="171" t="s">
        <v>224</v>
      </c>
      <c r="E14" s="171" t="s">
        <v>223</v>
      </c>
      <c r="F14" s="171"/>
      <c r="G14" s="86">
        <f>'Balance de Nutrientes'!D17</f>
        <v>0</v>
      </c>
      <c r="H14" s="139"/>
      <c r="J14" s="138"/>
      <c r="K14" s="20"/>
      <c r="L14" s="21" t="s">
        <v>64</v>
      </c>
      <c r="M14" s="16" t="s">
        <v>66</v>
      </c>
      <c r="N14" s="23">
        <v>1.232</v>
      </c>
      <c r="O14" s="139"/>
      <c r="Q14" s="138"/>
      <c r="R14" s="41"/>
      <c r="S14" s="15" t="s">
        <v>139</v>
      </c>
      <c r="T14" s="15" t="s">
        <v>1</v>
      </c>
      <c r="U14" s="83">
        <v>1.06E-2</v>
      </c>
      <c r="V14" s="144"/>
      <c r="X14" s="138"/>
      <c r="Y14" s="20"/>
      <c r="Z14" s="16" t="s">
        <v>169</v>
      </c>
      <c r="AA14" s="16" t="s">
        <v>160</v>
      </c>
      <c r="AB14" s="57">
        <f>SUM(N51,N101,N154)</f>
        <v>0</v>
      </c>
      <c r="AC14" s="16"/>
      <c r="AD14" s="139"/>
    </row>
    <row r="15" spans="2:30" ht="16.2" x14ac:dyDescent="0.3">
      <c r="B15" s="138"/>
      <c r="C15" s="20"/>
      <c r="D15" s="16" t="s">
        <v>198</v>
      </c>
      <c r="E15" s="16" t="s">
        <v>222</v>
      </c>
      <c r="F15" s="124"/>
      <c r="G15" s="202">
        <f>MIN(10000,G12 *IF(G13&lt;=5,1.8,IF(G13&lt;=10,7.1,IF(G13&lt;=20,15.9,IF(G13&lt;=40,20.3,IF(G13&lt;=80,28.5,35))))))</f>
        <v>0</v>
      </c>
      <c r="H15" s="139"/>
      <c r="J15" s="138"/>
      <c r="K15" s="20"/>
      <c r="L15" s="25" t="s">
        <v>20</v>
      </c>
      <c r="M15" s="26" t="s">
        <v>21</v>
      </c>
      <c r="N15" s="27">
        <f>$N$11*10000*N12/1000000</f>
        <v>0</v>
      </c>
      <c r="O15" s="139"/>
      <c r="Q15" s="138"/>
      <c r="R15" s="41"/>
      <c r="S15" s="15" t="s">
        <v>133</v>
      </c>
      <c r="T15" s="15" t="s">
        <v>1</v>
      </c>
      <c r="U15" s="84">
        <v>0.5</v>
      </c>
      <c r="V15" s="144"/>
      <c r="X15" s="138"/>
      <c r="Y15" s="20"/>
      <c r="Z15" s="16" t="s">
        <v>170</v>
      </c>
      <c r="AA15" s="16" t="s">
        <v>161</v>
      </c>
      <c r="AB15" s="57">
        <f>IF(OR(ISBLANK(G12),G12&lt;=0),0,SUM(N17,N24))</f>
        <v>0</v>
      </c>
      <c r="AC15" s="16"/>
      <c r="AD15" s="139"/>
    </row>
    <row r="16" spans="2:30" ht="16.2" x14ac:dyDescent="0.3">
      <c r="B16" s="138"/>
      <c r="C16" s="20"/>
      <c r="D16" s="129" t="s">
        <v>199</v>
      </c>
      <c r="E16" s="126" t="s">
        <v>159</v>
      </c>
      <c r="F16" s="128"/>
      <c r="G16" s="159">
        <f>IF(AND(U11=0,G15=0),0,4.74+0.0046*U11+0.0102*G15)</f>
        <v>0</v>
      </c>
      <c r="H16" s="139"/>
      <c r="J16" s="138"/>
      <c r="K16" s="22"/>
      <c r="L16" s="25" t="s">
        <v>20</v>
      </c>
      <c r="M16" s="26" t="s">
        <v>67</v>
      </c>
      <c r="N16" s="27">
        <f>$N$11*10000*N13/1000000</f>
        <v>0</v>
      </c>
      <c r="O16" s="139"/>
      <c r="Q16" s="138"/>
      <c r="R16" s="20"/>
      <c r="S16" s="42" t="s">
        <v>7</v>
      </c>
      <c r="T16" s="16" t="s">
        <v>131</v>
      </c>
      <c r="U16" s="32">
        <f xml:space="preserve"> U11*(1-IF(U15&gt;1,U15/100,U15))*IF(U12&gt;1,U12/100,U12)</f>
        <v>0</v>
      </c>
      <c r="V16" s="144"/>
      <c r="X16" s="138"/>
      <c r="Y16" s="20"/>
      <c r="Z16" s="16" t="s">
        <v>171</v>
      </c>
      <c r="AA16" s="16" t="s">
        <v>161</v>
      </c>
      <c r="AB16" s="57">
        <f>SUM(N52,N102,N155)</f>
        <v>0</v>
      </c>
      <c r="AC16" s="16"/>
      <c r="AD16" s="139"/>
    </row>
    <row r="17" spans="2:40" ht="16.2" x14ac:dyDescent="0.3">
      <c r="B17" s="138"/>
      <c r="C17" s="20"/>
      <c r="D17" s="129" t="s">
        <v>200</v>
      </c>
      <c r="E17" s="126" t="s">
        <v>160</v>
      </c>
      <c r="F17" s="128"/>
      <c r="G17" s="261">
        <f>IF(AND(U11=0,G15=0),0,1.066+0.00037*U11+0.00075*G15)</f>
        <v>0</v>
      </c>
      <c r="H17" s="139"/>
      <c r="J17" s="138"/>
      <c r="K17" s="24"/>
      <c r="L17" s="25" t="s">
        <v>20</v>
      </c>
      <c r="M17" s="26" t="s">
        <v>68</v>
      </c>
      <c r="N17" s="27">
        <f>$N$11*10000*N14/1000000</f>
        <v>0</v>
      </c>
      <c r="O17" s="139"/>
      <c r="Q17" s="138"/>
      <c r="R17" s="20"/>
      <c r="S17" s="42" t="s">
        <v>7</v>
      </c>
      <c r="T17" s="16" t="s">
        <v>85</v>
      </c>
      <c r="U17" s="32">
        <f xml:space="preserve"> U11*(1-IF(U15&gt;1,U15/100,U15))*IF(U13&gt;1,U13/100,U13)</f>
        <v>0</v>
      </c>
      <c r="V17" s="145"/>
      <c r="X17" s="138"/>
      <c r="Y17" s="95"/>
      <c r="Z17" s="65" t="s">
        <v>156</v>
      </c>
      <c r="AA17" s="65" t="s">
        <v>159</v>
      </c>
      <c r="AB17" s="213">
        <f>AB11+AB12</f>
        <v>0</v>
      </c>
      <c r="AC17" s="16"/>
      <c r="AD17" s="139"/>
    </row>
    <row r="18" spans="2:40" ht="16.2" x14ac:dyDescent="0.3">
      <c r="B18" s="138"/>
      <c r="C18" s="33"/>
      <c r="D18" s="130" t="s">
        <v>201</v>
      </c>
      <c r="E18" s="127" t="s">
        <v>161</v>
      </c>
      <c r="F18" s="127"/>
      <c r="G18" s="262">
        <f>IF(AND(U11=0,G15=0),0,10.971+0.0045*U11+0.00735*G15)</f>
        <v>0</v>
      </c>
      <c r="H18" s="139"/>
      <c r="J18" s="138"/>
      <c r="K18" s="16"/>
      <c r="L18" s="15"/>
      <c r="M18" s="16"/>
      <c r="N18" s="16"/>
      <c r="O18" s="139"/>
      <c r="Q18" s="138"/>
      <c r="R18" s="20"/>
      <c r="S18" s="42" t="s">
        <v>7</v>
      </c>
      <c r="T18" s="16" t="s">
        <v>86</v>
      </c>
      <c r="U18" s="32">
        <f xml:space="preserve"> U11*(1-IF(U15&gt;1,U15/100,U15))*IF(U14&gt;1,U14/100,U14)</f>
        <v>0</v>
      </c>
      <c r="V18" s="139"/>
      <c r="X18" s="138"/>
      <c r="Y18" s="95"/>
      <c r="Z18" s="65" t="s">
        <v>157</v>
      </c>
      <c r="AA18" s="65" t="s">
        <v>160</v>
      </c>
      <c r="AB18" s="213">
        <f>AB13+AB14</f>
        <v>0</v>
      </c>
      <c r="AC18" s="16"/>
      <c r="AD18" s="139"/>
    </row>
    <row r="19" spans="2:40" ht="18.600000000000001" thickBot="1" x14ac:dyDescent="0.4">
      <c r="B19" s="140"/>
      <c r="C19" s="142"/>
      <c r="D19" s="142"/>
      <c r="E19" s="142"/>
      <c r="F19" s="142"/>
      <c r="G19" s="142"/>
      <c r="H19" s="143"/>
      <c r="J19" s="138"/>
      <c r="K19" s="14" t="s">
        <v>59</v>
      </c>
      <c r="L19" s="16"/>
      <c r="M19" s="16"/>
      <c r="N19" s="16"/>
      <c r="O19" s="139"/>
      <c r="Q19" s="138"/>
      <c r="R19" s="20"/>
      <c r="S19" s="43" t="s">
        <v>58</v>
      </c>
      <c r="T19" s="16" t="s">
        <v>1</v>
      </c>
      <c r="U19" s="84">
        <v>0.1</v>
      </c>
      <c r="V19" s="139"/>
      <c r="X19" s="138"/>
      <c r="Y19" s="58"/>
      <c r="Z19" s="26" t="s">
        <v>158</v>
      </c>
      <c r="AA19" s="26" t="s">
        <v>161</v>
      </c>
      <c r="AB19" s="214">
        <f>AB15+AB16</f>
        <v>0</v>
      </c>
      <c r="AC19" s="16"/>
      <c r="AD19" s="139"/>
    </row>
    <row r="20" spans="2:40" ht="16.8" thickTop="1" x14ac:dyDescent="0.3">
      <c r="J20" s="138"/>
      <c r="K20" s="17"/>
      <c r="L20" s="19" t="s">
        <v>71</v>
      </c>
      <c r="M20" s="19" t="s">
        <v>54</v>
      </c>
      <c r="N20" s="52">
        <v>500</v>
      </c>
      <c r="O20" s="139"/>
      <c r="Q20" s="138"/>
      <c r="R20" s="20"/>
      <c r="S20" s="15" t="s">
        <v>136</v>
      </c>
      <c r="T20" s="16" t="s">
        <v>1</v>
      </c>
      <c r="U20" s="83">
        <v>0.01</v>
      </c>
      <c r="V20" s="139"/>
      <c r="X20" s="138"/>
      <c r="Y20" s="16"/>
      <c r="Z20" s="16"/>
      <c r="AA20" s="16"/>
      <c r="AB20" s="16"/>
      <c r="AC20" s="16"/>
      <c r="AD20" s="139"/>
    </row>
    <row r="21" spans="2:40" ht="14.4" customHeight="1" x14ac:dyDescent="0.35">
      <c r="J21" s="138"/>
      <c r="K21" s="20"/>
      <c r="L21" s="16" t="s">
        <v>69</v>
      </c>
      <c r="M21" s="16" t="s">
        <v>1</v>
      </c>
      <c r="N21" s="50">
        <v>3.6080000000000001E-2</v>
      </c>
      <c r="O21" s="139"/>
      <c r="Q21" s="138"/>
      <c r="R21" s="20"/>
      <c r="S21" s="15" t="s">
        <v>137</v>
      </c>
      <c r="T21" s="16" t="s">
        <v>1</v>
      </c>
      <c r="U21" s="83">
        <v>8.0000000000000004E-4</v>
      </c>
      <c r="V21" s="139"/>
      <c r="X21" s="138"/>
      <c r="Y21" s="40" t="s">
        <v>153</v>
      </c>
      <c r="Z21" s="16"/>
      <c r="AA21" s="16"/>
      <c r="AB21" s="16"/>
      <c r="AC21" s="16"/>
      <c r="AD21" s="139"/>
    </row>
    <row r="22" spans="2:40" ht="16.2" x14ac:dyDescent="0.3">
      <c r="J22" s="138"/>
      <c r="K22" s="20"/>
      <c r="L22" s="15" t="s">
        <v>70</v>
      </c>
      <c r="M22" s="16" t="s">
        <v>1</v>
      </c>
      <c r="N22" s="23">
        <v>0.59014</v>
      </c>
      <c r="O22" s="139"/>
      <c r="Q22" s="138"/>
      <c r="R22" s="20"/>
      <c r="S22" s="15" t="s">
        <v>138</v>
      </c>
      <c r="T22" s="16" t="s">
        <v>1</v>
      </c>
      <c r="U22" s="83">
        <v>3.5000000000000001E-3</v>
      </c>
      <c r="V22" s="139"/>
      <c r="X22" s="138"/>
      <c r="Y22" s="30"/>
      <c r="Z22" s="19" t="s">
        <v>262</v>
      </c>
      <c r="AA22" s="19" t="s">
        <v>159</v>
      </c>
      <c r="AB22" s="56">
        <f>IF(SU$32=[1]FERTILIZANTES!$E$40,U27+U38,U27)+IF(G13&gt;20,1.2,0)</f>
        <v>0</v>
      </c>
      <c r="AC22" s="16"/>
      <c r="AD22" s="139"/>
    </row>
    <row r="23" spans="2:40" ht="16.2" x14ac:dyDescent="0.3">
      <c r="J23" s="138"/>
      <c r="K23" s="20"/>
      <c r="L23" s="61" t="s">
        <v>20</v>
      </c>
      <c r="M23" s="26" t="s">
        <v>60</v>
      </c>
      <c r="N23" s="60">
        <f>N20*N21/100</f>
        <v>0.1804</v>
      </c>
      <c r="O23" s="139"/>
      <c r="Q23" s="138"/>
      <c r="R23" s="20"/>
      <c r="S23" s="15" t="s">
        <v>134</v>
      </c>
      <c r="T23" s="16" t="s">
        <v>1</v>
      </c>
      <c r="U23" s="84">
        <v>0.25</v>
      </c>
      <c r="V23" s="139"/>
      <c r="X23" s="138"/>
      <c r="Y23" s="20"/>
      <c r="Z23" s="16" t="s">
        <v>162</v>
      </c>
      <c r="AA23" s="16" t="s">
        <v>159</v>
      </c>
      <c r="AB23" s="57" t="e">
        <f>SUM(U50,U57,U66,U75)-U44-U53</f>
        <v>#VALUE!</v>
      </c>
      <c r="AC23" s="16"/>
      <c r="AD23" s="139"/>
    </row>
    <row r="24" spans="2:40" ht="16.2" x14ac:dyDescent="0.3">
      <c r="J24" s="138"/>
      <c r="K24" s="33"/>
      <c r="L24" s="61" t="s">
        <v>20</v>
      </c>
      <c r="M24" s="26" t="s">
        <v>61</v>
      </c>
      <c r="N24" s="60">
        <f>N20*N22/100</f>
        <v>2.9506999999999999</v>
      </c>
      <c r="O24" s="139"/>
      <c r="Q24" s="138"/>
      <c r="R24" s="20"/>
      <c r="S24" s="42" t="s">
        <v>7</v>
      </c>
      <c r="T24" s="16" t="s">
        <v>21</v>
      </c>
      <c r="U24" s="82">
        <f xml:space="preserve"> U11*IF(U19&gt;1,U19/100,U19) * (1-IF(U23&gt;1,U23/100,U23)) * IF(U20&gt;1,U20/100,U20)</f>
        <v>0</v>
      </c>
      <c r="V24" s="139"/>
      <c r="X24" s="138"/>
      <c r="Y24" s="20"/>
      <c r="Z24" s="16" t="s">
        <v>263</v>
      </c>
      <c r="AA24" s="16" t="s">
        <v>160</v>
      </c>
      <c r="AB24" s="57">
        <f>IF($U$32=[1]FERTILIZANTES!$E$40, U28+U39, U28)+IF(G13&gt;20,0.3,0)</f>
        <v>0</v>
      </c>
      <c r="AC24" s="16"/>
      <c r="AD24" s="139"/>
    </row>
    <row r="25" spans="2:40" ht="16.2" x14ac:dyDescent="0.3">
      <c r="J25" s="138"/>
      <c r="K25" s="16"/>
      <c r="L25" s="15"/>
      <c r="M25" s="16"/>
      <c r="N25" s="36"/>
      <c r="O25" s="139"/>
      <c r="Q25" s="138"/>
      <c r="R25" s="20"/>
      <c r="S25" s="42" t="s">
        <v>7</v>
      </c>
      <c r="T25" s="16" t="s">
        <v>67</v>
      </c>
      <c r="U25" s="44">
        <f xml:space="preserve"> U11*IF(U19&gt;1,U19/100,U19) * (1-IF(U23&gt;1,U23/100,U23)) * IF(U21&gt;1,U21/100,U21)</f>
        <v>0</v>
      </c>
      <c r="V25" s="139"/>
      <c r="X25" s="138"/>
      <c r="Y25" s="20"/>
      <c r="Z25" s="16" t="s">
        <v>163</v>
      </c>
      <c r="AA25" s="16" t="s">
        <v>160</v>
      </c>
      <c r="AB25" s="57" t="e">
        <f>U76</f>
        <v>#VALUE!</v>
      </c>
      <c r="AC25" s="16"/>
      <c r="AD25" s="139"/>
    </row>
    <row r="26" spans="2:40" ht="18" x14ac:dyDescent="0.35">
      <c r="J26" s="138"/>
      <c r="K26" s="14" t="s">
        <v>18</v>
      </c>
      <c r="L26" s="15"/>
      <c r="M26" s="16"/>
      <c r="N26" s="36"/>
      <c r="O26" s="139"/>
      <c r="Q26" s="138"/>
      <c r="R26" s="20"/>
      <c r="S26" s="42" t="s">
        <v>7</v>
      </c>
      <c r="T26" s="16" t="s">
        <v>68</v>
      </c>
      <c r="U26" s="44">
        <f xml:space="preserve"> U11*IF(U19&gt;1,U19/100,U19) * (1-IF(U23&gt;1,U23/100,U23)) * IF(U22&gt;1,U22/100,U22)</f>
        <v>0</v>
      </c>
      <c r="V26" s="139"/>
      <c r="X26" s="138"/>
      <c r="Y26" s="20"/>
      <c r="Z26" s="16" t="s">
        <v>264</v>
      </c>
      <c r="AA26" s="16" t="s">
        <v>161</v>
      </c>
      <c r="AB26" s="57">
        <f>IF($U$32=[1]FERTILIZANTES!$E$40, U29+U40, U29)+IF(G13&gt;20,1.45,0)</f>
        <v>0</v>
      </c>
      <c r="AC26" s="16"/>
      <c r="AD26" s="139"/>
    </row>
    <row r="27" spans="2:40" ht="16.2" x14ac:dyDescent="0.3">
      <c r="J27" s="138"/>
      <c r="K27" s="17" t="s">
        <v>15</v>
      </c>
      <c r="L27" s="29" t="s">
        <v>225</v>
      </c>
      <c r="M27" s="19"/>
      <c r="N27" s="220" t="str">
        <f>'Balance de Nutrientes'!D25</f>
        <v>Elige uno de la lista</v>
      </c>
      <c r="O27" s="139"/>
      <c r="Q27" s="138"/>
      <c r="R27" s="20"/>
      <c r="S27" s="79" t="s">
        <v>135</v>
      </c>
      <c r="T27" s="80" t="s">
        <v>131</v>
      </c>
      <c r="U27" s="81">
        <f xml:space="preserve"> U16 + U24</f>
        <v>0</v>
      </c>
      <c r="V27" s="139"/>
      <c r="X27" s="138"/>
      <c r="Y27" s="20"/>
      <c r="Z27" s="16" t="s">
        <v>164</v>
      </c>
      <c r="AA27" s="16" t="s">
        <v>161</v>
      </c>
      <c r="AB27" s="57" t="e">
        <f>U77</f>
        <v>#VALUE!</v>
      </c>
      <c r="AC27" s="16"/>
      <c r="AD27" s="139"/>
    </row>
    <row r="28" spans="2:40" ht="16.2" x14ac:dyDescent="0.3">
      <c r="J28" s="138"/>
      <c r="K28" s="20"/>
      <c r="L28" s="173" t="s">
        <v>234</v>
      </c>
      <c r="M28" s="171"/>
      <c r="N28" s="9" t="str">
        <f>'Balance de Nutrientes'!D26</f>
        <v>Elige uno de la lista</v>
      </c>
      <c r="O28" s="139"/>
      <c r="Q28" s="138"/>
      <c r="R28" s="20"/>
      <c r="S28" s="79" t="s">
        <v>135</v>
      </c>
      <c r="T28" s="80" t="s">
        <v>132</v>
      </c>
      <c r="U28" s="81">
        <f xml:space="preserve"> U17 + U25</f>
        <v>0</v>
      </c>
      <c r="V28" s="139"/>
      <c r="X28" s="138"/>
      <c r="Y28" s="96"/>
      <c r="Z28" s="80" t="s">
        <v>333</v>
      </c>
      <c r="AA28" s="80" t="s">
        <v>159</v>
      </c>
      <c r="AB28" s="215" t="e">
        <f>AB22+AB23</f>
        <v>#VALUE!</v>
      </c>
      <c r="AC28" s="16"/>
      <c r="AD28" s="139"/>
      <c r="AN28" s="67"/>
    </row>
    <row r="29" spans="2:40" ht="16.2" x14ac:dyDescent="0.3">
      <c r="J29" s="138"/>
      <c r="K29" s="20"/>
      <c r="L29" s="173" t="s">
        <v>240</v>
      </c>
      <c r="M29" s="171"/>
      <c r="N29" s="221" t="str">
        <f>'Balance de Nutrientes'!D27</f>
        <v>Elige uno de la lista</v>
      </c>
      <c r="O29" s="139"/>
      <c r="Q29" s="138"/>
      <c r="R29" s="33"/>
      <c r="S29" s="47" t="s">
        <v>135</v>
      </c>
      <c r="T29" s="48" t="s">
        <v>86</v>
      </c>
      <c r="U29" s="49">
        <f xml:space="preserve"> U18 + U26</f>
        <v>0</v>
      </c>
      <c r="V29" s="139"/>
      <c r="X29" s="138"/>
      <c r="Y29" s="96"/>
      <c r="Z29" s="80" t="s">
        <v>334</v>
      </c>
      <c r="AA29" s="80" t="s">
        <v>160</v>
      </c>
      <c r="AB29" s="215" t="e">
        <f>AB24+AB25</f>
        <v>#VALUE!</v>
      </c>
      <c r="AC29" s="16"/>
      <c r="AD29" s="139"/>
    </row>
    <row r="30" spans="2:40" ht="16.2" x14ac:dyDescent="0.3">
      <c r="J30" s="138"/>
      <c r="K30" s="20"/>
      <c r="L30" s="173" t="s">
        <v>246</v>
      </c>
      <c r="M30" s="171" t="s">
        <v>223</v>
      </c>
      <c r="N30" s="189">
        <f>IF($N$27="No",0,IF(ISNUMBER(SEARCH("toda la finca",LOWER($N$28))),$G$14,IFERROR(VLOOKUP($N$28,FERTILIZANTES!$C$4:$D$7,2,FALSE)* 100 * (SQRT($G$12)-1)* ($G$14/10000),0)))</f>
        <v>0</v>
      </c>
      <c r="O30" s="139"/>
      <c r="Q30" s="138"/>
      <c r="R30" s="16"/>
      <c r="S30" s="16"/>
      <c r="T30" s="16"/>
      <c r="U30" s="16"/>
      <c r="V30" s="139"/>
      <c r="X30" s="138"/>
      <c r="Y30" s="59"/>
      <c r="Z30" s="48" t="s">
        <v>335</v>
      </c>
      <c r="AA30" s="48" t="s">
        <v>161</v>
      </c>
      <c r="AB30" s="216" t="e">
        <f>AB26+AB27</f>
        <v>#VALUE!</v>
      </c>
      <c r="AC30" s="16"/>
      <c r="AD30" s="139"/>
    </row>
    <row r="31" spans="2:40" ht="18" customHeight="1" x14ac:dyDescent="0.35">
      <c r="J31" s="138"/>
      <c r="K31" s="20"/>
      <c r="L31" s="15" t="s">
        <v>19</v>
      </c>
      <c r="M31" s="16" t="s">
        <v>128</v>
      </c>
      <c r="N31" s="172">
        <f>IFERROR(VALUE(VLOOKUP($N$29,FERTILIZANTES!$E$4:$F$6,2,FALSE))* $N$30* 10/ $G$14,0)</f>
        <v>0</v>
      </c>
      <c r="O31" s="139"/>
      <c r="Q31" s="138"/>
      <c r="R31" s="46" t="s">
        <v>49</v>
      </c>
      <c r="S31" s="42"/>
      <c r="T31" s="16"/>
      <c r="U31" s="16"/>
      <c r="V31" s="139"/>
      <c r="X31" s="138"/>
      <c r="Y31" s="16"/>
      <c r="Z31" s="16"/>
      <c r="AA31" s="16"/>
      <c r="AB31" s="16"/>
      <c r="AC31" s="16"/>
      <c r="AD31" s="139"/>
    </row>
    <row r="32" spans="2:40" ht="18" x14ac:dyDescent="0.35">
      <c r="J32" s="138"/>
      <c r="K32" s="20"/>
      <c r="L32" s="15" t="s">
        <v>129</v>
      </c>
      <c r="M32" s="16" t="s">
        <v>1</v>
      </c>
      <c r="N32" s="78">
        <v>10</v>
      </c>
      <c r="O32" s="139"/>
      <c r="Q32" s="138"/>
      <c r="R32" s="17"/>
      <c r="S32" s="19" t="s">
        <v>251</v>
      </c>
      <c r="T32" s="19"/>
      <c r="U32" s="10" t="str">
        <f>'Balance de Nutrientes'!D28</f>
        <v>Elige uno de la lista</v>
      </c>
      <c r="V32" s="139"/>
      <c r="X32" s="138"/>
      <c r="Y32" s="54" t="s">
        <v>8</v>
      </c>
      <c r="Z32" s="16"/>
      <c r="AA32" s="16"/>
      <c r="AB32" s="16"/>
      <c r="AC32" s="16"/>
      <c r="AD32" s="139"/>
    </row>
    <row r="33" spans="10:30" ht="16.2" x14ac:dyDescent="0.3">
      <c r="J33" s="138"/>
      <c r="K33" s="20"/>
      <c r="L33" s="15" t="s">
        <v>130</v>
      </c>
      <c r="M33" s="16" t="s">
        <v>3</v>
      </c>
      <c r="N33" s="78">
        <v>0.04</v>
      </c>
      <c r="O33" s="139"/>
      <c r="Q33" s="138"/>
      <c r="R33" s="22"/>
      <c r="S33" s="171" t="s">
        <v>266</v>
      </c>
      <c r="T33" s="171" t="s">
        <v>255</v>
      </c>
      <c r="U33" s="57">
        <f>IF($G$13&gt;50,FERTILIZANTES!$F$34,FERTILIZANTES!$F$35) * $G$12 * ($G$14/10000)</f>
        <v>0</v>
      </c>
      <c r="V33" s="139"/>
      <c r="X33" s="138"/>
      <c r="Y33" s="98"/>
      <c r="Z33" s="99" t="s">
        <v>165</v>
      </c>
      <c r="AA33" s="212" t="s">
        <v>159</v>
      </c>
      <c r="AB33" s="217" t="e">
        <f>AB17-AB28</f>
        <v>#VALUE!</v>
      </c>
      <c r="AC33" s="16"/>
      <c r="AD33" s="139"/>
    </row>
    <row r="34" spans="10:30" ht="16.2" x14ac:dyDescent="0.3">
      <c r="J34" s="138"/>
      <c r="K34" s="20"/>
      <c r="L34" s="15" t="s">
        <v>73</v>
      </c>
      <c r="M34" s="16" t="s">
        <v>1</v>
      </c>
      <c r="N34" s="23">
        <v>38</v>
      </c>
      <c r="O34" s="139"/>
      <c r="Q34" s="138"/>
      <c r="R34" s="22"/>
      <c r="S34" s="171" t="s">
        <v>267</v>
      </c>
      <c r="T34" s="171" t="s">
        <v>254</v>
      </c>
      <c r="U34" s="57">
        <f>IF($G$13&gt;50,FERTILIZANTES!$F$34,FERTILIZANTES!$F$35) * $G$12</f>
        <v>0</v>
      </c>
      <c r="V34" s="139"/>
      <c r="X34" s="138"/>
      <c r="Y34" s="100"/>
      <c r="Z34" s="97" t="s">
        <v>166</v>
      </c>
      <c r="AA34" s="210" t="s">
        <v>160</v>
      </c>
      <c r="AB34" s="218" t="e">
        <f>AB18-AB29</f>
        <v>#VALUE!</v>
      </c>
      <c r="AC34" s="16"/>
      <c r="AD34" s="139"/>
    </row>
    <row r="35" spans="10:30" ht="16.2" customHeight="1" x14ac:dyDescent="0.3">
      <c r="J35" s="138"/>
      <c r="K35" s="20"/>
      <c r="L35" s="15" t="s">
        <v>74</v>
      </c>
      <c r="M35" s="16" t="s">
        <v>1</v>
      </c>
      <c r="N35" s="23">
        <v>60</v>
      </c>
      <c r="O35" s="139"/>
      <c r="Q35" s="138"/>
      <c r="R35" s="22"/>
      <c r="S35" s="16" t="s">
        <v>325</v>
      </c>
      <c r="T35" s="15" t="s">
        <v>1</v>
      </c>
      <c r="U35" s="57">
        <v>0.64</v>
      </c>
      <c r="V35" s="139"/>
      <c r="X35" s="138"/>
      <c r="Y35" s="101"/>
      <c r="Z35" s="102" t="s">
        <v>167</v>
      </c>
      <c r="AA35" s="211" t="s">
        <v>161</v>
      </c>
      <c r="AB35" s="219" t="e">
        <f>AB19-AB30</f>
        <v>#VALUE!</v>
      </c>
      <c r="AC35" s="16"/>
      <c r="AD35" s="139"/>
    </row>
    <row r="36" spans="10:30" ht="18" x14ac:dyDescent="0.35">
      <c r="J36" s="138"/>
      <c r="K36" s="20"/>
      <c r="L36" s="15" t="s">
        <v>75</v>
      </c>
      <c r="M36" s="16" t="s">
        <v>1</v>
      </c>
      <c r="N36" s="23">
        <v>18</v>
      </c>
      <c r="O36" s="139"/>
      <c r="Q36" s="138"/>
      <c r="R36" s="22"/>
      <c r="S36" s="16" t="s">
        <v>326</v>
      </c>
      <c r="T36" s="15" t="s">
        <v>1</v>
      </c>
      <c r="U36" s="57">
        <v>5.6000000000000001E-2</v>
      </c>
      <c r="V36" s="139"/>
      <c r="X36" s="138"/>
      <c r="Y36" s="54"/>
      <c r="Z36" s="16"/>
      <c r="AA36" s="16"/>
      <c r="AB36" s="16"/>
      <c r="AC36" s="16"/>
      <c r="AD36" s="139"/>
    </row>
    <row r="37" spans="10:30" ht="16.2" x14ac:dyDescent="0.3">
      <c r="J37" s="138"/>
      <c r="K37" s="33"/>
      <c r="L37" s="25" t="s">
        <v>20</v>
      </c>
      <c r="M37" s="26" t="s">
        <v>21</v>
      </c>
      <c r="N37" s="27">
        <f>(N31*(N32/100)*N33*(N35/100))+(N31*0.1*0.04*0.38*0.6)+(N31*0.1*0.04*0.6*0.18)</f>
        <v>0</v>
      </c>
      <c r="O37" s="139"/>
      <c r="Q37" s="138"/>
      <c r="R37" s="22"/>
      <c r="S37" s="16" t="s">
        <v>327</v>
      </c>
      <c r="T37" s="15" t="s">
        <v>1</v>
      </c>
      <c r="U37" s="57">
        <v>0.39</v>
      </c>
      <c r="V37" s="139"/>
      <c r="X37" s="138"/>
      <c r="Y37" s="263"/>
      <c r="Z37" s="264" t="s">
        <v>328</v>
      </c>
      <c r="AA37" s="264" t="s">
        <v>1</v>
      </c>
      <c r="AB37" s="265">
        <f>IF(AB17=0,0,AB11/AB17*100)</f>
        <v>0</v>
      </c>
      <c r="AC37" s="171"/>
      <c r="AD37" s="139"/>
    </row>
    <row r="38" spans="10:30" ht="16.2" x14ac:dyDescent="0.3">
      <c r="J38" s="138"/>
      <c r="K38" s="16"/>
      <c r="L38" s="15"/>
      <c r="M38" s="16"/>
      <c r="N38" s="36"/>
      <c r="O38" s="139"/>
      <c r="Q38" s="138"/>
      <c r="R38" s="20"/>
      <c r="S38" s="79" t="s">
        <v>46</v>
      </c>
      <c r="T38" s="80" t="s">
        <v>131</v>
      </c>
      <c r="U38" s="81">
        <f>U34 * U35 / 100</f>
        <v>0</v>
      </c>
      <c r="V38" s="139"/>
      <c r="X38" s="138"/>
      <c r="Y38" s="266"/>
      <c r="Z38" s="267" t="s">
        <v>329</v>
      </c>
      <c r="AA38" s="267" t="s">
        <v>1</v>
      </c>
      <c r="AB38" s="268">
        <f>IF(AB18=0,0,AB12/AB18*100)</f>
        <v>0</v>
      </c>
      <c r="AC38" s="171"/>
      <c r="AD38" s="139"/>
    </row>
    <row r="39" spans="10:30" ht="18" x14ac:dyDescent="0.35">
      <c r="J39" s="138"/>
      <c r="K39" s="14" t="s">
        <v>22</v>
      </c>
      <c r="L39" s="15"/>
      <c r="M39" s="16"/>
      <c r="N39" s="36"/>
      <c r="O39" s="139"/>
      <c r="Q39" s="138"/>
      <c r="R39" s="20"/>
      <c r="S39" s="79" t="s">
        <v>46</v>
      </c>
      <c r="T39" s="80" t="s">
        <v>85</v>
      </c>
      <c r="U39" s="81">
        <f>U34 * U36 / 100</f>
        <v>0</v>
      </c>
      <c r="V39" s="139"/>
      <c r="X39" s="138"/>
      <c r="Y39" s="269"/>
      <c r="Z39" s="270" t="s">
        <v>330</v>
      </c>
      <c r="AA39" s="270" t="s">
        <v>1</v>
      </c>
      <c r="AB39" s="271">
        <f t="shared" ref="AB39" si="0">IF(AB19=0,0,AB13/AB19*100)</f>
        <v>0</v>
      </c>
      <c r="AC39" s="171"/>
      <c r="AD39" s="139"/>
    </row>
    <row r="40" spans="10:30" ht="16.8" thickBot="1" x14ac:dyDescent="0.35">
      <c r="J40" s="138"/>
      <c r="K40" s="17"/>
      <c r="L40" s="29" t="s">
        <v>72</v>
      </c>
      <c r="M40" s="19" t="s">
        <v>27</v>
      </c>
      <c r="N40" s="87">
        <v>4</v>
      </c>
      <c r="O40" s="139"/>
      <c r="Q40" s="138"/>
      <c r="R40" s="33"/>
      <c r="S40" s="47" t="s">
        <v>46</v>
      </c>
      <c r="T40" s="48" t="s">
        <v>86</v>
      </c>
      <c r="U40" s="49">
        <f>U34 * U37 / 100</f>
        <v>0</v>
      </c>
      <c r="V40" s="139"/>
      <c r="X40" s="140"/>
      <c r="Y40" s="142"/>
      <c r="Z40" s="142"/>
      <c r="AA40" s="142"/>
      <c r="AB40" s="142"/>
      <c r="AC40" s="142"/>
      <c r="AD40" s="143"/>
    </row>
    <row r="41" spans="10:30" ht="17.399999999999999" thickTop="1" thickBot="1" x14ac:dyDescent="0.35">
      <c r="J41" s="138"/>
      <c r="K41" s="20"/>
      <c r="L41" s="15" t="s">
        <v>26</v>
      </c>
      <c r="M41" s="16" t="s">
        <v>28</v>
      </c>
      <c r="N41" s="63">
        <f>'Balance de Nutrientes'!D23</f>
        <v>0</v>
      </c>
      <c r="O41" s="139"/>
      <c r="Q41" s="138"/>
      <c r="R41" s="16"/>
      <c r="S41" s="15"/>
      <c r="T41" s="16"/>
      <c r="U41" s="16"/>
      <c r="V41" s="139"/>
      <c r="X41" s="35"/>
      <c r="Y41" s="35"/>
      <c r="Z41" s="35"/>
      <c r="AA41" s="35"/>
      <c r="AB41" s="35"/>
      <c r="AC41" s="35"/>
    </row>
    <row r="42" spans="10:30" ht="18.600000000000001" thickTop="1" x14ac:dyDescent="0.35">
      <c r="J42" s="138"/>
      <c r="K42" s="33"/>
      <c r="L42" s="25" t="s">
        <v>20</v>
      </c>
      <c r="M42" s="26" t="s">
        <v>2</v>
      </c>
      <c r="N42" s="27">
        <f>IF(N41=0,N40,IF(N41=1,3,IF(N41=2,2,IF(AND(N41&gt;=3,N41&lt;5),1,IF(N41&gt;=5,0,ERROR)))))</f>
        <v>4</v>
      </c>
      <c r="O42" s="139"/>
      <c r="Q42" s="138"/>
      <c r="R42" s="46" t="s">
        <v>50</v>
      </c>
      <c r="S42" s="15"/>
      <c r="T42" s="16"/>
      <c r="U42" s="16"/>
      <c r="V42" s="139"/>
      <c r="X42" s="134"/>
      <c r="Y42" s="135"/>
      <c r="Z42" s="136"/>
      <c r="AA42" s="135"/>
      <c r="AB42" s="135"/>
      <c r="AC42" s="135"/>
      <c r="AD42" s="137"/>
    </row>
    <row r="43" spans="10:30" x14ac:dyDescent="0.3">
      <c r="J43" s="138"/>
      <c r="K43" s="16"/>
      <c r="L43" s="15"/>
      <c r="M43" s="16"/>
      <c r="N43" s="36"/>
      <c r="O43" s="139"/>
      <c r="Q43" s="138"/>
      <c r="R43" s="17"/>
      <c r="S43" s="19" t="s">
        <v>256</v>
      </c>
      <c r="T43" s="19"/>
      <c r="U43" s="51" t="str">
        <f>'Balance de Nutrientes'!D87</f>
        <v>Elige uno de la lista</v>
      </c>
      <c r="V43" s="139"/>
      <c r="X43" s="138"/>
      <c r="Y43" s="16"/>
      <c r="Z43" s="16"/>
      <c r="AA43" s="16"/>
      <c r="AB43" s="16"/>
      <c r="AC43" s="16"/>
      <c r="AD43" s="139"/>
    </row>
    <row r="44" spans="10:30" ht="23.4" x14ac:dyDescent="0.45">
      <c r="J44" s="138"/>
      <c r="K44" s="14" t="s">
        <v>23</v>
      </c>
      <c r="L44" s="15"/>
      <c r="M44" s="16"/>
      <c r="N44" s="39"/>
      <c r="O44" s="139"/>
      <c r="Q44" s="138"/>
      <c r="R44" s="22"/>
      <c r="S44" s="16" t="s">
        <v>92</v>
      </c>
      <c r="T44" s="16" t="s">
        <v>21</v>
      </c>
      <c r="U44" s="195">
        <f>IFERROR((-0.256 + 0.259*VLOOKUP(U43,FERTILIZANTES!$B$44:$C$46,2,FALSE)) /(1 + 0.074*VLOOKUP(U43,FERTILIZANTES!$B$44:$C$46,2,FALSE)),0)</f>
        <v>0</v>
      </c>
      <c r="V44" s="139"/>
      <c r="X44" s="138"/>
      <c r="Y44" s="276"/>
      <c r="Z44" s="260" t="s">
        <v>193</v>
      </c>
      <c r="AA44" s="260"/>
      <c r="AB44" s="260"/>
      <c r="AC44" s="260"/>
      <c r="AD44" s="139"/>
    </row>
    <row r="45" spans="10:30" ht="16.2" customHeight="1" x14ac:dyDescent="0.3">
      <c r="J45" s="138"/>
      <c r="K45" s="17"/>
      <c r="L45" s="29" t="s">
        <v>29</v>
      </c>
      <c r="M45" s="19" t="s">
        <v>30</v>
      </c>
      <c r="N45" s="62">
        <f>'Balance de Nutrientes'!D24</f>
        <v>0</v>
      </c>
      <c r="O45" s="139"/>
      <c r="Q45" s="138"/>
      <c r="R45" s="22"/>
      <c r="S45" s="16" t="s">
        <v>87</v>
      </c>
      <c r="T45" s="16" t="s">
        <v>27</v>
      </c>
      <c r="U45" s="82">
        <f>N100</f>
        <v>0</v>
      </c>
      <c r="V45" s="139"/>
      <c r="X45" s="138"/>
      <c r="Y45" s="16"/>
      <c r="Z45" s="12"/>
      <c r="AA45" s="12"/>
      <c r="AB45" s="16"/>
      <c r="AC45" s="13"/>
      <c r="AD45" s="139"/>
    </row>
    <row r="46" spans="10:30" ht="18" x14ac:dyDescent="0.35">
      <c r="J46" s="138"/>
      <c r="K46" s="20"/>
      <c r="L46" s="16" t="s">
        <v>76</v>
      </c>
      <c r="M46" s="16" t="s">
        <v>5</v>
      </c>
      <c r="N46" s="38">
        <v>2</v>
      </c>
      <c r="O46" s="139"/>
      <c r="Q46" s="138"/>
      <c r="R46" s="22"/>
      <c r="S46" s="16" t="s">
        <v>88</v>
      </c>
      <c r="T46" s="16" t="s">
        <v>27</v>
      </c>
      <c r="U46" s="82">
        <f>N153</f>
        <v>0</v>
      </c>
      <c r="V46" s="139"/>
      <c r="X46" s="138"/>
      <c r="Y46" s="125"/>
      <c r="Z46" s="16"/>
      <c r="AA46" s="16"/>
      <c r="AB46" s="16"/>
      <c r="AC46" s="16"/>
      <c r="AD46" s="139"/>
    </row>
    <row r="47" spans="10:30" ht="15" customHeight="1" x14ac:dyDescent="0.3">
      <c r="J47" s="138"/>
      <c r="K47" s="20"/>
      <c r="L47" s="16" t="s">
        <v>77</v>
      </c>
      <c r="M47" s="16" t="s">
        <v>80</v>
      </c>
      <c r="N47" s="38">
        <v>0.5</v>
      </c>
      <c r="O47" s="139"/>
      <c r="Q47" s="138"/>
      <c r="R47" s="22"/>
      <c r="S47" s="16" t="s">
        <v>89</v>
      </c>
      <c r="T47" s="16" t="s">
        <v>27</v>
      </c>
      <c r="U47" s="82">
        <f>(U46-(U46*0.05))*0.01+(U45-(U45*0.2))*0.025</f>
        <v>0</v>
      </c>
      <c r="V47" s="139"/>
      <c r="X47" s="138"/>
      <c r="Y47" s="149" t="s">
        <v>203</v>
      </c>
      <c r="Z47" s="19"/>
      <c r="AA47" s="19"/>
      <c r="AB47" s="19"/>
      <c r="AC47" s="31"/>
      <c r="AD47" s="139"/>
    </row>
    <row r="48" spans="10:30" ht="16.2" customHeight="1" x14ac:dyDescent="0.3">
      <c r="J48" s="138"/>
      <c r="K48" s="20"/>
      <c r="L48" s="16" t="s">
        <v>78</v>
      </c>
      <c r="M48" s="16" t="s">
        <v>79</v>
      </c>
      <c r="N48" s="38">
        <v>2</v>
      </c>
      <c r="O48" s="139"/>
      <c r="Q48" s="138"/>
      <c r="R48" s="22"/>
      <c r="S48" s="16" t="s">
        <v>90</v>
      </c>
      <c r="T48" s="16" t="s">
        <v>55</v>
      </c>
      <c r="U48" s="82">
        <f>IFERROR((U44 * (0.189 + (1.17 * VLOOKUP(U43,FERTILIZANTES!$B$44:$C$46,2,FALSE))) /(1 + (0.136 * VLOOKUP(U43,FERTILIZANTES!$B$44:$C$46,2,FALSE))) ) * (2/3),0)</f>
        <v>0</v>
      </c>
      <c r="V48" s="139"/>
      <c r="X48" s="274"/>
      <c r="Y48" s="16"/>
      <c r="Z48" s="272"/>
      <c r="AA48" s="272"/>
      <c r="AB48" s="272"/>
      <c r="AC48" s="273"/>
      <c r="AD48" s="139"/>
    </row>
    <row r="49" spans="10:33" ht="16.2" customHeight="1" x14ac:dyDescent="0.3">
      <c r="J49" s="138"/>
      <c r="K49" s="20"/>
      <c r="L49" s="16"/>
      <c r="M49" s="16"/>
      <c r="N49" s="38"/>
      <c r="O49" s="139"/>
      <c r="Q49" s="138"/>
      <c r="R49" s="22"/>
      <c r="S49" s="16" t="s">
        <v>91</v>
      </c>
      <c r="T49" s="16" t="s">
        <v>56</v>
      </c>
      <c r="U49" s="82">
        <f>IFERROR(U47 * ((0.189 + (1.17 * VLOOKUP(U43,FERTILIZANTES!$B$44:$C$46,2,FALSE))) / (1 + (0.136 * VLOOKUP(U43,FERTILIZANTES!$B$44:$C$46,2,FALSE))) ) * (2/3), 0)</f>
        <v>0</v>
      </c>
      <c r="V49" s="139"/>
      <c r="X49" s="274"/>
      <c r="Y49" s="315" t="s">
        <v>207</v>
      </c>
      <c r="Z49" s="315"/>
      <c r="AA49" s="315"/>
      <c r="AB49" s="315"/>
      <c r="AC49" s="316"/>
      <c r="AD49" s="139"/>
    </row>
    <row r="50" spans="10:33" ht="16.2" x14ac:dyDescent="0.3">
      <c r="J50" s="138"/>
      <c r="K50" s="20"/>
      <c r="L50" s="25" t="s">
        <v>20</v>
      </c>
      <c r="M50" s="26" t="s">
        <v>21</v>
      </c>
      <c r="N50" s="27">
        <f>$N$45*1000*N46/1000000</f>
        <v>0</v>
      </c>
      <c r="O50" s="139"/>
      <c r="Q50" s="138"/>
      <c r="R50" s="33"/>
      <c r="S50" s="47" t="s">
        <v>46</v>
      </c>
      <c r="T50" s="48" t="s">
        <v>2</v>
      </c>
      <c r="U50" s="49">
        <f>U44+U47+U48+U49</f>
        <v>0</v>
      </c>
      <c r="V50" s="139"/>
      <c r="X50" s="138"/>
      <c r="Y50" s="308" t="s">
        <v>218</v>
      </c>
      <c r="Z50" s="309"/>
      <c r="AA50" s="309"/>
      <c r="AB50" s="309"/>
      <c r="AC50" s="310"/>
      <c r="AD50" s="139"/>
    </row>
    <row r="51" spans="10:33" ht="16.2" x14ac:dyDescent="0.3">
      <c r="J51" s="138"/>
      <c r="K51" s="20"/>
      <c r="L51" s="25" t="s">
        <v>20</v>
      </c>
      <c r="M51" s="26" t="s">
        <v>67</v>
      </c>
      <c r="N51" s="27">
        <f>$N$45*1000*N47/1000000</f>
        <v>0</v>
      </c>
      <c r="O51" s="139"/>
      <c r="Q51" s="138"/>
      <c r="R51" s="16"/>
      <c r="S51" s="15"/>
      <c r="T51" s="16"/>
      <c r="U51" s="16"/>
      <c r="V51" s="139"/>
      <c r="X51" s="138"/>
      <c r="Y51" s="311" t="s">
        <v>208</v>
      </c>
      <c r="Z51" s="312"/>
      <c r="AA51" s="312"/>
      <c r="AB51" s="312"/>
      <c r="AC51" s="313"/>
      <c r="AD51" s="139"/>
    </row>
    <row r="52" spans="10:33" ht="19.2" customHeight="1" x14ac:dyDescent="0.45">
      <c r="J52" s="138"/>
      <c r="K52" s="33"/>
      <c r="L52" s="25" t="s">
        <v>20</v>
      </c>
      <c r="M52" s="26" t="s">
        <v>68</v>
      </c>
      <c r="N52" s="27">
        <f>$N$45*1000*N48/1000000</f>
        <v>0</v>
      </c>
      <c r="O52" s="139"/>
      <c r="Q52" s="138"/>
      <c r="R52" s="46" t="s">
        <v>53</v>
      </c>
      <c r="S52" s="15"/>
      <c r="T52" s="16"/>
      <c r="U52" s="16"/>
      <c r="V52" s="139"/>
      <c r="X52" s="138"/>
      <c r="Y52" s="314" t="s">
        <v>221</v>
      </c>
      <c r="Z52" s="315"/>
      <c r="AA52" s="315"/>
      <c r="AB52" s="315"/>
      <c r="AC52" s="316"/>
      <c r="AD52" s="139"/>
    </row>
    <row r="53" spans="10:33" ht="20.399999999999999" customHeight="1" x14ac:dyDescent="0.3">
      <c r="J53" s="138"/>
      <c r="K53" s="16"/>
      <c r="L53" s="15"/>
      <c r="M53" s="16"/>
      <c r="N53" s="36"/>
      <c r="O53" s="139"/>
      <c r="Q53" s="138"/>
      <c r="R53" s="17"/>
      <c r="S53" s="19" t="s">
        <v>94</v>
      </c>
      <c r="T53" s="19" t="s">
        <v>21</v>
      </c>
      <c r="U53" s="52">
        <v>1.5</v>
      </c>
      <c r="V53" s="139"/>
      <c r="X53" s="138"/>
      <c r="Y53" s="150" t="s">
        <v>209</v>
      </c>
      <c r="Z53" s="16"/>
      <c r="AA53" s="16"/>
      <c r="AB53" s="16"/>
      <c r="AC53" s="32"/>
      <c r="AD53" s="139"/>
    </row>
    <row r="54" spans="10:33" ht="18" x14ac:dyDescent="0.35">
      <c r="J54" s="138"/>
      <c r="K54" s="14" t="s">
        <v>24</v>
      </c>
      <c r="L54" s="15"/>
      <c r="M54" s="16"/>
      <c r="N54" s="36"/>
      <c r="O54" s="139"/>
      <c r="Q54" s="138"/>
      <c r="R54" s="45"/>
      <c r="S54" s="16" t="s">
        <v>93</v>
      </c>
      <c r="T54" s="16" t="s">
        <v>27</v>
      </c>
      <c r="U54" s="44">
        <f>N37</f>
        <v>0</v>
      </c>
      <c r="V54" s="139"/>
      <c r="X54" s="138"/>
      <c r="Y54" s="151" t="s">
        <v>206</v>
      </c>
      <c r="Z54" s="132"/>
      <c r="AA54" s="16"/>
      <c r="AB54" s="16"/>
      <c r="AC54" s="32"/>
      <c r="AD54" s="139"/>
    </row>
    <row r="55" spans="10:33" ht="16.2" x14ac:dyDescent="0.3">
      <c r="J55" s="138"/>
      <c r="K55" s="17"/>
      <c r="L55" s="29" t="s">
        <v>31</v>
      </c>
      <c r="M55" s="19" t="s">
        <v>38</v>
      </c>
      <c r="N55" s="76" t="str">
        <f>'Balance de Nutrientes'!D30</f>
        <v>Elige uno de la lista</v>
      </c>
      <c r="O55" s="139"/>
      <c r="Q55" s="138"/>
      <c r="R55" s="45"/>
      <c r="S55" s="16" t="s">
        <v>95</v>
      </c>
      <c r="T55" s="16" t="s">
        <v>27</v>
      </c>
      <c r="U55" s="44">
        <f>N100</f>
        <v>0</v>
      </c>
      <c r="V55" s="139"/>
      <c r="X55" s="138"/>
      <c r="Y55" s="152" t="s">
        <v>214</v>
      </c>
      <c r="Z55" s="16"/>
      <c r="AA55" s="16"/>
      <c r="AB55" s="16"/>
      <c r="AC55" s="32"/>
      <c r="AD55" s="139"/>
      <c r="AG55" s="72"/>
    </row>
    <row r="56" spans="10:33" ht="16.2" x14ac:dyDescent="0.3">
      <c r="J56" s="138"/>
      <c r="K56" s="20"/>
      <c r="L56" s="15" t="s">
        <v>32</v>
      </c>
      <c r="M56" s="16" t="s">
        <v>6</v>
      </c>
      <c r="N56" s="7">
        <f>'Balance de Nutrientes'!D31</f>
        <v>0</v>
      </c>
      <c r="O56" s="139"/>
      <c r="Q56" s="138"/>
      <c r="R56" s="45"/>
      <c r="S56" s="16" t="s">
        <v>88</v>
      </c>
      <c r="T56" s="16" t="s">
        <v>27</v>
      </c>
      <c r="U56" s="44">
        <f>N153</f>
        <v>0</v>
      </c>
      <c r="V56" s="139"/>
      <c r="X56" s="138"/>
      <c r="Y56" s="20"/>
      <c r="Z56" s="171"/>
      <c r="AA56" s="171"/>
      <c r="AB56" s="171"/>
      <c r="AC56" s="32"/>
      <c r="AD56" s="139"/>
    </row>
    <row r="57" spans="10:33" ht="23.4" x14ac:dyDescent="0.3">
      <c r="J57" s="138"/>
      <c r="K57" s="20"/>
      <c r="L57" s="15" t="s">
        <v>121</v>
      </c>
      <c r="M57" s="16"/>
      <c r="N57" s="190">
        <f>IFERROR(INDEX(tblFert[N], MATCH($N$55, tblFert[Fertilizante orgánico], 0)), "")</f>
        <v>0</v>
      </c>
      <c r="O57" s="139"/>
      <c r="Q57" s="138"/>
      <c r="R57" s="33"/>
      <c r="S57" s="47" t="s">
        <v>46</v>
      </c>
      <c r="T57" s="48" t="s">
        <v>21</v>
      </c>
      <c r="U57" s="49">
        <f>U53+U54*0.01+U55*0.2+U56*0.05</f>
        <v>1.5</v>
      </c>
      <c r="V57" s="139"/>
      <c r="X57" s="138"/>
      <c r="Y57" s="153" t="s">
        <v>204</v>
      </c>
      <c r="Z57" s="132"/>
      <c r="AA57" s="16"/>
      <c r="AB57" s="16"/>
      <c r="AC57" s="32"/>
      <c r="AD57" s="139"/>
      <c r="AG57" s="72"/>
    </row>
    <row r="58" spans="10:33" x14ac:dyDescent="0.3">
      <c r="J58" s="138"/>
      <c r="K58" s="20"/>
      <c r="L58" s="15" t="s">
        <v>127</v>
      </c>
      <c r="M58" s="16"/>
      <c r="N58" s="161">
        <f>IFERROR(INDEX(tblFert[P], MATCH($N$55, tblFert[Fertilizante orgánico], 0)), "")</f>
        <v>0</v>
      </c>
      <c r="O58" s="139"/>
      <c r="Q58" s="138"/>
      <c r="R58" s="16"/>
      <c r="S58" s="15"/>
      <c r="T58" s="16"/>
      <c r="U58" s="16"/>
      <c r="V58" s="139"/>
      <c r="X58" s="138"/>
      <c r="Y58" s="154" t="s">
        <v>210</v>
      </c>
      <c r="Z58" s="133"/>
      <c r="AA58" s="133"/>
      <c r="AB58" s="133"/>
      <c r="AC58" s="32"/>
      <c r="AD58" s="139"/>
      <c r="AG58" s="72"/>
    </row>
    <row r="59" spans="10:33" ht="18" x14ac:dyDescent="0.35">
      <c r="J59" s="138"/>
      <c r="K59" s="20"/>
      <c r="L59" s="15" t="s">
        <v>126</v>
      </c>
      <c r="M59" s="16"/>
      <c r="N59" s="161">
        <f>IFERROR(INDEX(tblFert[K], MATCH($N$55, tblFert[Fertilizante orgánico], 0)), "")</f>
        <v>0</v>
      </c>
      <c r="O59" s="139"/>
      <c r="Q59" s="138"/>
      <c r="R59" s="46" t="s">
        <v>51</v>
      </c>
      <c r="S59" s="15"/>
      <c r="T59" s="16"/>
      <c r="U59" s="16"/>
      <c r="V59" s="139"/>
      <c r="X59" s="138"/>
      <c r="Y59" s="154" t="s">
        <v>211</v>
      </c>
      <c r="Z59" s="133"/>
      <c r="AA59" s="133"/>
      <c r="AB59" s="133"/>
      <c r="AC59" s="32"/>
      <c r="AD59" s="139"/>
    </row>
    <row r="60" spans="10:33" x14ac:dyDescent="0.3">
      <c r="J60" s="138"/>
      <c r="K60" s="20"/>
      <c r="L60" s="15" t="s">
        <v>125</v>
      </c>
      <c r="M60" s="16"/>
      <c r="N60" s="124">
        <f>IFERROR(INDEX(tblFert[Humedad], MATCH($N$55, tblFert[Fertilizante orgánico], 0)), "")</f>
        <v>0</v>
      </c>
      <c r="O60" s="148"/>
      <c r="Q60" s="138"/>
      <c r="R60" s="17"/>
      <c r="S60" s="19" t="s">
        <v>147</v>
      </c>
      <c r="T60" s="19" t="s">
        <v>1</v>
      </c>
      <c r="U60" s="10" t="str">
        <f>'Balance de Nutrientes'!D88</f>
        <v>Elige uno de la lista</v>
      </c>
      <c r="V60" s="139"/>
      <c r="X60" s="138"/>
      <c r="Y60" s="154" t="s">
        <v>212</v>
      </c>
      <c r="Z60" s="133"/>
      <c r="AA60" s="133"/>
      <c r="AB60" s="133"/>
      <c r="AC60" s="32"/>
      <c r="AD60" s="139"/>
    </row>
    <row r="61" spans="10:33" ht="16.2" x14ac:dyDescent="0.3">
      <c r="J61" s="138"/>
      <c r="K61" s="20"/>
      <c r="L61" s="37" t="s">
        <v>7</v>
      </c>
      <c r="M61" s="16" t="s">
        <v>21</v>
      </c>
      <c r="N61" s="77">
        <f>$N$56*(1-IF($N$60&gt;1,$N$60/100,$N$60))*IF($N$57&gt;1,$N$57/100,$N$57)</f>
        <v>0</v>
      </c>
      <c r="O61" s="139"/>
      <c r="Q61" s="138"/>
      <c r="R61" s="22"/>
      <c r="S61" s="16" t="s">
        <v>151</v>
      </c>
      <c r="T61" s="16" t="s">
        <v>1</v>
      </c>
      <c r="U61" s="94" t="str">
        <f>IF(U60="", "", IF(V61="", "", IF(V61&gt;1, V61/100, V61)/17.24))</f>
        <v/>
      </c>
      <c r="V61" s="139" t="str">
        <f>IFERROR(INDEX(FERTILIZANTES!$F$28:$F$31, MATCH(U60, FERTILIZANTES!$E$28:$E$31, 0)), "")</f>
        <v/>
      </c>
      <c r="X61" s="138"/>
      <c r="Y61" s="155" t="s">
        <v>213</v>
      </c>
      <c r="Z61" s="133"/>
      <c r="AA61" s="133"/>
      <c r="AB61" s="133"/>
      <c r="AC61" s="32"/>
      <c r="AD61" s="139"/>
    </row>
    <row r="62" spans="10:33" ht="16.2" x14ac:dyDescent="0.3">
      <c r="J62" s="138"/>
      <c r="K62" s="20"/>
      <c r="L62" s="37" t="s">
        <v>7</v>
      </c>
      <c r="M62" s="16" t="s">
        <v>85</v>
      </c>
      <c r="N62" s="77">
        <f xml:space="preserve"> $N$56 * (1 - IF($N$60&gt;1, $N$60/100, $N$60)) * IF($N$58&gt;1, $N$58/100, $N$58)</f>
        <v>0</v>
      </c>
      <c r="O62" s="139"/>
      <c r="Q62" s="138"/>
      <c r="R62" s="22"/>
      <c r="S62" s="16" t="s">
        <v>144</v>
      </c>
      <c r="T62" s="16" t="s">
        <v>10</v>
      </c>
      <c r="U62" s="50">
        <v>0.3</v>
      </c>
      <c r="V62" s="139"/>
      <c r="X62" s="138"/>
      <c r="Y62" s="156"/>
      <c r="Z62" s="131"/>
      <c r="AA62" s="133"/>
      <c r="AB62" s="133"/>
      <c r="AC62" s="32"/>
      <c r="AD62" s="139"/>
    </row>
    <row r="63" spans="10:33" ht="17.399999999999999" customHeight="1" x14ac:dyDescent="0.3">
      <c r="J63" s="138"/>
      <c r="K63" s="20"/>
      <c r="L63" s="37" t="s">
        <v>7</v>
      </c>
      <c r="M63" s="16" t="s">
        <v>86</v>
      </c>
      <c r="N63" s="77">
        <f xml:space="preserve"> $N$56 * (1 - IF($N$60&gt;1, $N$60/100, $N$60)) * IF($N$59&gt;1, $N$59/100, $N$59)</f>
        <v>0</v>
      </c>
      <c r="O63" s="139"/>
      <c r="Q63" s="138"/>
      <c r="R63" s="22"/>
      <c r="S63" s="16" t="s">
        <v>97</v>
      </c>
      <c r="T63" s="16" t="s">
        <v>9</v>
      </c>
      <c r="U63" s="50">
        <v>1.33</v>
      </c>
      <c r="V63" s="139"/>
      <c r="X63" s="138"/>
      <c r="Y63" s="153" t="s">
        <v>205</v>
      </c>
      <c r="Z63" s="16"/>
      <c r="AA63" s="16"/>
      <c r="AB63" s="16"/>
      <c r="AC63" s="32"/>
      <c r="AD63" s="139"/>
      <c r="AG63" s="72"/>
    </row>
    <row r="64" spans="10:33" ht="16.2" x14ac:dyDescent="0.3">
      <c r="J64" s="138"/>
      <c r="K64" s="17"/>
      <c r="L64" s="29" t="s">
        <v>33</v>
      </c>
      <c r="M64" s="19" t="s">
        <v>38</v>
      </c>
      <c r="N64" s="76" t="str">
        <f>'Balance de Nutrientes'!D33</f>
        <v>Elige uno de la lista</v>
      </c>
      <c r="O64" s="139"/>
      <c r="Q64" s="138"/>
      <c r="R64" s="45"/>
      <c r="S64" s="16" t="s">
        <v>98</v>
      </c>
      <c r="T64" s="16" t="s">
        <v>27</v>
      </c>
      <c r="U64" s="44" t="e">
        <f xml:space="preserve"> (IF(OR(U61="",U62="",U63=""),"",  IF(U61&gt;1,U61/100,U61) * (U63*10000*U62*1000) * 0.02 ))*0.7</f>
        <v>#VALUE!</v>
      </c>
      <c r="V64" s="139"/>
      <c r="X64" s="138"/>
      <c r="Y64" s="154" t="s">
        <v>215</v>
      </c>
      <c r="Z64" s="133"/>
      <c r="AA64" s="133"/>
      <c r="AB64" s="16"/>
      <c r="AC64" s="32"/>
      <c r="AD64" s="139"/>
    </row>
    <row r="65" spans="10:33" ht="16.2" x14ac:dyDescent="0.3">
      <c r="J65" s="138"/>
      <c r="K65" s="20"/>
      <c r="L65" s="15" t="s">
        <v>32</v>
      </c>
      <c r="M65" s="16" t="s">
        <v>6</v>
      </c>
      <c r="N65" s="9">
        <f>'Balance de Nutrientes'!D34</f>
        <v>0</v>
      </c>
      <c r="O65" s="139"/>
      <c r="Q65" s="138"/>
      <c r="R65" s="45"/>
      <c r="S65" s="16" t="s">
        <v>145</v>
      </c>
      <c r="T65" s="16"/>
      <c r="U65" s="44" t="e">
        <f>AB17+U64-(U27+U38+U50+U57)</f>
        <v>#VALUE!</v>
      </c>
      <c r="V65" s="139"/>
      <c r="X65" s="138"/>
      <c r="Y65" s="154" t="s">
        <v>217</v>
      </c>
      <c r="Z65" s="133"/>
      <c r="AA65" s="133"/>
      <c r="AB65" s="16"/>
      <c r="AC65" s="32"/>
      <c r="AD65" s="139"/>
    </row>
    <row r="66" spans="10:33" ht="16.2" x14ac:dyDescent="0.3">
      <c r="J66" s="138"/>
      <c r="K66" s="20"/>
      <c r="L66" s="15" t="s">
        <v>124</v>
      </c>
      <c r="M66" s="16"/>
      <c r="N66" s="190">
        <f>IFERROR(INDEX(tblFert[N], MATCH($N$64, tblFert[Fertilizante orgánico], 0)), "")</f>
        <v>0</v>
      </c>
      <c r="O66" s="139"/>
      <c r="Q66" s="138"/>
      <c r="R66" s="33"/>
      <c r="S66" s="47" t="s">
        <v>46</v>
      </c>
      <c r="T66" s="48" t="s">
        <v>21</v>
      </c>
      <c r="U66" s="49" t="e">
        <f>IF(((0.000143*(U777^2))-(0.0229*U777))&lt;0,0,((0.000143*(U65^2))-(0.0229*U65)))</f>
        <v>#VALUE!</v>
      </c>
      <c r="V66" s="139"/>
      <c r="X66" s="138"/>
      <c r="Y66" s="154" t="s">
        <v>219</v>
      </c>
      <c r="Z66" s="133"/>
      <c r="AA66" s="133"/>
      <c r="AB66" s="16"/>
      <c r="AC66" s="32"/>
      <c r="AD66" s="139"/>
    </row>
    <row r="67" spans="10:33" x14ac:dyDescent="0.3">
      <c r="J67" s="138"/>
      <c r="K67" s="20"/>
      <c r="L67" s="15" t="s">
        <v>122</v>
      </c>
      <c r="M67" s="16"/>
      <c r="N67" s="161">
        <f>IFERROR(INDEX(tblFert[P], MATCH($N$64, tblFert[Fertilizante orgánico], 0)), "")</f>
        <v>0</v>
      </c>
      <c r="O67" s="139"/>
      <c r="Q67" s="138"/>
      <c r="R67" s="16"/>
      <c r="S67" s="15"/>
      <c r="T67" s="16"/>
      <c r="U67" s="16"/>
      <c r="V67" s="139"/>
      <c r="X67" s="138"/>
      <c r="Y67" s="20" t="s">
        <v>220</v>
      </c>
      <c r="Z67" s="133"/>
      <c r="AA67" s="133"/>
      <c r="AB67" s="16"/>
      <c r="AC67" s="32"/>
      <c r="AD67" s="139"/>
    </row>
    <row r="68" spans="10:33" ht="18" x14ac:dyDescent="0.35">
      <c r="J68" s="138"/>
      <c r="K68" s="20"/>
      <c r="L68" s="15" t="s">
        <v>123</v>
      </c>
      <c r="M68" s="16"/>
      <c r="N68" s="161">
        <f>IFERROR(INDEX(tblFert[K], MATCH($N$64, tblFert[Fertilizante orgánico], 0)), "")</f>
        <v>0</v>
      </c>
      <c r="O68" s="139"/>
      <c r="Q68" s="138"/>
      <c r="R68" s="46" t="s">
        <v>52</v>
      </c>
      <c r="S68" s="15"/>
      <c r="T68" s="16"/>
      <c r="U68" s="16"/>
      <c r="V68" s="139"/>
      <c r="X68" s="138"/>
      <c r="Y68" s="157" t="s">
        <v>216</v>
      </c>
      <c r="Z68" s="34"/>
      <c r="AA68" s="34"/>
      <c r="AB68" s="34"/>
      <c r="AC68" s="158"/>
      <c r="AD68" s="139"/>
      <c r="AE68" s="200"/>
    </row>
    <row r="69" spans="10:33" x14ac:dyDescent="0.3">
      <c r="J69" s="138"/>
      <c r="K69" s="20"/>
      <c r="L69" s="15" t="s">
        <v>125</v>
      </c>
      <c r="M69" s="16"/>
      <c r="N69" s="57">
        <f>IFERROR(INDEX(tblFert[Humedad], MATCH($N$64, tblFert[Fertilizante orgánico], 0)), "")</f>
        <v>0</v>
      </c>
      <c r="O69" s="139"/>
      <c r="Q69" s="138"/>
      <c r="R69" s="17"/>
      <c r="S69" s="19" t="s">
        <v>189</v>
      </c>
      <c r="T69" s="19" t="s">
        <v>1</v>
      </c>
      <c r="U69" s="10" t="str">
        <f>'Balance de Nutrientes'!D89</f>
        <v>Elige uno de la lista</v>
      </c>
      <c r="V69" s="139" t="str" cm="1">
        <f t="array" ref="V69">IFERROR(
INDEX(FERTILIZANTES!$C$28:$C$31,
MATCH(
TRIM(SUBSTITUTE(SUBSTITUTE(U69,"–","-"),"—","-")),
TRIM(SUBSTITUTE(SUBSTITUTE(FERTILIZANTES!$B$28:$B$31,"–","-"),"—","-")),
0
)
),
"")</f>
        <v/>
      </c>
      <c r="X69" s="138"/>
      <c r="Y69" s="171"/>
      <c r="Z69" s="171"/>
      <c r="AA69" s="171"/>
      <c r="AB69" s="171"/>
      <c r="AC69" s="171"/>
      <c r="AD69" s="139"/>
    </row>
    <row r="70" spans="10:33" ht="16.2" x14ac:dyDescent="0.3">
      <c r="J70" s="138"/>
      <c r="K70" s="20"/>
      <c r="L70" s="37" t="s">
        <v>7</v>
      </c>
      <c r="M70" s="16" t="s">
        <v>21</v>
      </c>
      <c r="N70" s="32">
        <f>$N$65*(1-IF($N$69&gt;1,$N$69/100,$N$69))*IF($N$66&gt;1,$N$66/100,$N$66)</f>
        <v>0</v>
      </c>
      <c r="O70" s="139"/>
      <c r="Q70" s="138"/>
      <c r="R70" s="20"/>
      <c r="S70" s="16" t="s">
        <v>178</v>
      </c>
      <c r="T70" s="16"/>
      <c r="U70" s="123" t="str">
        <f>'Balance de Nutrientes'!D90</f>
        <v>Elige uno de la lista</v>
      </c>
      <c r="V70" s="139"/>
      <c r="X70" s="138"/>
      <c r="Y70" s="171"/>
      <c r="Z70" s="171"/>
      <c r="AA70" s="171"/>
      <c r="AB70" s="171"/>
      <c r="AC70" s="171"/>
      <c r="AD70" s="139"/>
    </row>
    <row r="71" spans="10:33" ht="16.8" thickBot="1" x14ac:dyDescent="0.35">
      <c r="J71" s="138"/>
      <c r="K71" s="20"/>
      <c r="L71" s="37" t="s">
        <v>7</v>
      </c>
      <c r="M71" s="16" t="s">
        <v>85</v>
      </c>
      <c r="N71" s="77">
        <f xml:space="preserve"> $N$65 * (1 - IF($N$69&gt;1, $N$69/100, $N$69)) * IF($N$67&gt;1, $N$67/100, $N$67)</f>
        <v>0</v>
      </c>
      <c r="O71" s="139"/>
      <c r="Q71" s="138"/>
      <c r="R71" s="20"/>
      <c r="S71" s="16" t="s">
        <v>191</v>
      </c>
      <c r="T71" s="16" t="s">
        <v>190</v>
      </c>
      <c r="U71" s="32" t="e">
        <f>IF(OR(U69="",U70=""),"",V69*V71)</f>
        <v>#VALUE!</v>
      </c>
      <c r="V71" s="139" t="str">
        <f>IFERROR(
VALUE(SUBSTITUTE(SUBSTITUTE(SUBSTITUTE(
INDEX(FERTILIZANTES!$C$35:$C$38,
MATCH(TRIM(U70),FERTILIZANTES!$B$35:$B$38,0)
),
"×",""),"x",""),",",".")),
"")</f>
        <v/>
      </c>
      <c r="X71" s="138"/>
      <c r="Y71" s="141"/>
      <c r="Z71" s="141"/>
      <c r="AA71" s="141"/>
      <c r="AB71" s="142"/>
      <c r="AC71" s="142"/>
      <c r="AD71" s="142"/>
      <c r="AG71" s="72"/>
    </row>
    <row r="72" spans="10:33" ht="16.8" thickTop="1" x14ac:dyDescent="0.3">
      <c r="J72" s="138"/>
      <c r="K72" s="20"/>
      <c r="L72" s="37" t="s">
        <v>7</v>
      </c>
      <c r="M72" s="16" t="s">
        <v>86</v>
      </c>
      <c r="N72" s="77">
        <f xml:space="preserve"> $N$65 * (1 - IF($N$69&gt;1, $N$69/100, $N$69)) * IF($N$68&gt;1, $N$68/100, $N$68)</f>
        <v>0</v>
      </c>
      <c r="O72" s="139"/>
      <c r="Q72" s="138"/>
      <c r="R72" s="20"/>
      <c r="S72" s="16" t="s">
        <v>96</v>
      </c>
      <c r="T72" s="16" t="s">
        <v>1</v>
      </c>
      <c r="U72" s="94" t="str">
        <f>U61</f>
        <v/>
      </c>
      <c r="V72" s="139"/>
      <c r="X72" s="201"/>
      <c r="AD72" s="6"/>
    </row>
    <row r="73" spans="10:33" x14ac:dyDescent="0.3">
      <c r="J73" s="138"/>
      <c r="K73" s="17"/>
      <c r="L73" s="29" t="s">
        <v>34</v>
      </c>
      <c r="M73" s="19" t="s">
        <v>38</v>
      </c>
      <c r="N73" s="76" t="str">
        <f>'Balance de Nutrientes'!D36</f>
        <v>Elige uno de la lista</v>
      </c>
      <c r="O73" s="139"/>
      <c r="Q73" s="138"/>
      <c r="R73" s="20"/>
      <c r="S73" s="16" t="s">
        <v>142</v>
      </c>
      <c r="T73" s="16" t="s">
        <v>1</v>
      </c>
      <c r="U73" s="50">
        <v>2.2000000000000001E-3</v>
      </c>
      <c r="V73" s="139"/>
      <c r="X73" s="6"/>
      <c r="AD73" s="6"/>
      <c r="AG73" s="72"/>
    </row>
    <row r="74" spans="10:33" ht="16.2" x14ac:dyDescent="0.3">
      <c r="J74" s="138"/>
      <c r="K74" s="20"/>
      <c r="L74" s="15" t="s">
        <v>32</v>
      </c>
      <c r="M74" s="16" t="s">
        <v>6</v>
      </c>
      <c r="N74" s="7">
        <f>'Balance de Nutrientes'!D37</f>
        <v>0</v>
      </c>
      <c r="O74" s="139"/>
      <c r="Q74" s="138"/>
      <c r="R74" s="20"/>
      <c r="S74" s="16" t="s">
        <v>143</v>
      </c>
      <c r="T74" s="16" t="s">
        <v>1</v>
      </c>
      <c r="U74" s="50">
        <v>3.6999999999999998E-2</v>
      </c>
      <c r="V74" s="139"/>
      <c r="X74" s="4"/>
      <c r="AD74" s="6"/>
      <c r="AG74" s="72"/>
    </row>
    <row r="75" spans="10:33" ht="16.2" x14ac:dyDescent="0.3">
      <c r="J75" s="138"/>
      <c r="K75" s="20"/>
      <c r="L75" s="15" t="s">
        <v>121</v>
      </c>
      <c r="M75" s="16"/>
      <c r="N75" s="190">
        <f>IFERROR(INDEX(tblFert[N], MATCH($N$73, tblFert[Fertilizante orgánico], 0)), "")</f>
        <v>0</v>
      </c>
      <c r="O75" s="139"/>
      <c r="Q75" s="138"/>
      <c r="R75" s="20"/>
      <c r="S75" s="79" t="s">
        <v>46</v>
      </c>
      <c r="T75" s="80" t="s">
        <v>21</v>
      </c>
      <c r="U75" s="81" t="e">
        <f>($U$71*U72/100)*1000</f>
        <v>#VALUE!</v>
      </c>
      <c r="V75" s="139"/>
      <c r="AD75" s="4"/>
    </row>
    <row r="76" spans="10:33" ht="16.2" x14ac:dyDescent="0.3">
      <c r="J76" s="138"/>
      <c r="K76" s="20"/>
      <c r="L76" s="15" t="s">
        <v>127</v>
      </c>
      <c r="M76" s="16"/>
      <c r="N76" s="161">
        <f>IFERROR(INDEX(tblFert[P], MATCH($N$73, tblFert[Fertilizante orgánico], 0)), "")</f>
        <v>0</v>
      </c>
      <c r="O76" s="139"/>
      <c r="Q76" s="138"/>
      <c r="R76" s="20"/>
      <c r="S76" s="79" t="s">
        <v>46</v>
      </c>
      <c r="T76" s="80" t="s">
        <v>85</v>
      </c>
      <c r="U76" s="81" t="e">
        <f>($U$71*U73/100)*1000</f>
        <v>#VALUE!</v>
      </c>
      <c r="V76" s="139"/>
    </row>
    <row r="77" spans="10:33" ht="16.2" x14ac:dyDescent="0.3">
      <c r="J77" s="138"/>
      <c r="K77" s="20"/>
      <c r="L77" s="15" t="s">
        <v>126</v>
      </c>
      <c r="M77" s="16"/>
      <c r="N77" s="161">
        <f>IFERROR(INDEX(tblFert[K], MATCH($N$73, tblFert[Fertilizante orgánico], 0)), "")</f>
        <v>0</v>
      </c>
      <c r="O77" s="139"/>
      <c r="Q77" s="138"/>
      <c r="R77" s="33"/>
      <c r="S77" s="47" t="s">
        <v>46</v>
      </c>
      <c r="T77" s="48" t="s">
        <v>86</v>
      </c>
      <c r="U77" s="49" t="e">
        <f>($U$71*U74/100)*1000</f>
        <v>#VALUE!</v>
      </c>
      <c r="V77" s="139"/>
    </row>
    <row r="78" spans="10:33" ht="15" thickBot="1" x14ac:dyDescent="0.35">
      <c r="J78" s="138"/>
      <c r="K78" s="20"/>
      <c r="L78" s="15" t="s">
        <v>125</v>
      </c>
      <c r="M78" s="16"/>
      <c r="N78" s="57">
        <f>IFERROR(INDEX(tblFert[Humedad], MATCH($N$73, tblFert[Fertilizante orgánico], 0)), "")</f>
        <v>0</v>
      </c>
      <c r="O78" s="139"/>
      <c r="Q78" s="140"/>
      <c r="R78" s="142"/>
      <c r="S78" s="146"/>
      <c r="T78" s="142"/>
      <c r="U78" s="147"/>
      <c r="V78" s="143"/>
    </row>
    <row r="79" spans="10:33" ht="16.8" thickTop="1" x14ac:dyDescent="0.3">
      <c r="J79" s="138"/>
      <c r="K79" s="20"/>
      <c r="L79" s="37" t="s">
        <v>7</v>
      </c>
      <c r="M79" s="16" t="s">
        <v>21</v>
      </c>
      <c r="N79" s="77">
        <f>$N$74*(1-IF($N$78&gt;1,$N$78/100,$N$78))*IF($N$75&gt;1,$N$75/100,$N$75)</f>
        <v>0</v>
      </c>
      <c r="O79" s="139"/>
    </row>
    <row r="80" spans="10:33" ht="16.2" x14ac:dyDescent="0.3">
      <c r="J80" s="138"/>
      <c r="K80" s="20"/>
      <c r="L80" s="37" t="s">
        <v>7</v>
      </c>
      <c r="M80" s="16" t="s">
        <v>85</v>
      </c>
      <c r="N80" s="77">
        <f xml:space="preserve"> $N$74 * (1 - IF($N$78&gt;1, $N$78/100, $N$78)) * IF($N$76&gt;1, $N$76/100, $N$76)</f>
        <v>0</v>
      </c>
      <c r="O80" s="139"/>
    </row>
    <row r="81" spans="10:15" ht="16.2" x14ac:dyDescent="0.3">
      <c r="J81" s="138"/>
      <c r="K81" s="20"/>
      <c r="L81" s="37" t="s">
        <v>7</v>
      </c>
      <c r="M81" s="16" t="s">
        <v>86</v>
      </c>
      <c r="N81" s="77">
        <f xml:space="preserve"> $N$74 * (1 - IF($N$78&gt;1, $N$78/100, $N$78)) * IF($N$77&gt;1, $N$77/100, $N$77)</f>
        <v>0</v>
      </c>
      <c r="O81" s="139"/>
    </row>
    <row r="82" spans="10:15" x14ac:dyDescent="0.3">
      <c r="J82" s="138"/>
      <c r="K82" s="17"/>
      <c r="L82" s="29" t="s">
        <v>35</v>
      </c>
      <c r="M82" s="19" t="s">
        <v>38</v>
      </c>
      <c r="N82" s="76" t="str">
        <f>'Balance de Nutrientes'!D39</f>
        <v>Elige uno de la lista</v>
      </c>
      <c r="O82" s="139"/>
    </row>
    <row r="83" spans="10:15" ht="16.2" x14ac:dyDescent="0.3">
      <c r="J83" s="138"/>
      <c r="K83" s="20"/>
      <c r="L83" s="15" t="s">
        <v>32</v>
      </c>
      <c r="M83" s="16" t="s">
        <v>6</v>
      </c>
      <c r="N83" s="9">
        <f>'Balance de Nutrientes'!D40</f>
        <v>0</v>
      </c>
      <c r="O83" s="139"/>
    </row>
    <row r="84" spans="10:15" x14ac:dyDescent="0.3">
      <c r="J84" s="138"/>
      <c r="K84" s="20"/>
      <c r="L84" s="15" t="s">
        <v>121</v>
      </c>
      <c r="M84" s="16"/>
      <c r="N84" s="190">
        <f>IFERROR(INDEX(tblFert[N], MATCH($N$82, tblFert[Fertilizante orgánico], 0)), "")</f>
        <v>0</v>
      </c>
      <c r="O84" s="139"/>
    </row>
    <row r="85" spans="10:15" x14ac:dyDescent="0.3">
      <c r="J85" s="138"/>
      <c r="K85" s="20"/>
      <c r="L85" s="15" t="s">
        <v>127</v>
      </c>
      <c r="M85" s="16"/>
      <c r="N85" s="161">
        <f>IFERROR(INDEX(tblFert[P], MATCH($N$82, tblFert[Fertilizante orgánico], 0)), "")</f>
        <v>0</v>
      </c>
      <c r="O85" s="139"/>
    </row>
    <row r="86" spans="10:15" x14ac:dyDescent="0.3">
      <c r="J86" s="138"/>
      <c r="K86" s="20"/>
      <c r="L86" s="15" t="s">
        <v>126</v>
      </c>
      <c r="M86" s="16"/>
      <c r="N86" s="161">
        <f>IFERROR(INDEX(tblFert[K], MATCH($N$82, tblFert[Fertilizante orgánico], 0)), "")</f>
        <v>0</v>
      </c>
      <c r="O86" s="139"/>
    </row>
    <row r="87" spans="10:15" x14ac:dyDescent="0.3">
      <c r="J87" s="138"/>
      <c r="K87" s="20"/>
      <c r="L87" s="15" t="s">
        <v>125</v>
      </c>
      <c r="M87" s="16"/>
      <c r="N87" s="57">
        <f>IFERROR(INDEX(tblFert[Humedad], MATCH($N$82, tblFert[Fertilizante orgánico], 0)), "")</f>
        <v>0</v>
      </c>
      <c r="O87" s="139"/>
    </row>
    <row r="88" spans="10:15" ht="16.2" x14ac:dyDescent="0.3">
      <c r="J88" s="138"/>
      <c r="K88" s="20"/>
      <c r="L88" s="37" t="s">
        <v>7</v>
      </c>
      <c r="M88" s="16" t="s">
        <v>21</v>
      </c>
      <c r="N88" s="77">
        <f>$N$83*(1-IF($N$87&gt;1,$N$87/100,$N$87))*IF($N$84&gt;1,$N$84/100,$N$84)</f>
        <v>0</v>
      </c>
      <c r="O88" s="139"/>
    </row>
    <row r="89" spans="10:15" ht="16.2" x14ac:dyDescent="0.3">
      <c r="J89" s="138"/>
      <c r="K89" s="20"/>
      <c r="L89" s="37" t="s">
        <v>7</v>
      </c>
      <c r="M89" s="16" t="s">
        <v>85</v>
      </c>
      <c r="N89" s="77">
        <f xml:space="preserve"> $N$83 * (1 - IF($N$87&gt;1, $N$87/100, $N$87)) * IF($N$85&gt;1, $N$85/100, $N$85)</f>
        <v>0</v>
      </c>
      <c r="O89" s="139"/>
    </row>
    <row r="90" spans="10:15" ht="16.2" x14ac:dyDescent="0.3">
      <c r="J90" s="138"/>
      <c r="K90" s="20"/>
      <c r="L90" s="37" t="s">
        <v>7</v>
      </c>
      <c r="M90" s="16" t="s">
        <v>86</v>
      </c>
      <c r="N90" s="77">
        <f xml:space="preserve"> $N$83 * (1 - IF($N$87&gt;1, $N$87/100, $N$87)) * IF($N$86&gt;1, $N$86/100, $N$86)</f>
        <v>0</v>
      </c>
      <c r="O90" s="139"/>
    </row>
    <row r="91" spans="10:15" x14ac:dyDescent="0.3">
      <c r="J91" s="138"/>
      <c r="K91" s="17"/>
      <c r="L91" s="29" t="s">
        <v>36</v>
      </c>
      <c r="M91" s="19" t="s">
        <v>38</v>
      </c>
      <c r="N91" s="76" t="str">
        <f>'Balance de Nutrientes'!D42</f>
        <v>Elige uno de la lista</v>
      </c>
      <c r="O91" s="139"/>
    </row>
    <row r="92" spans="10:15" ht="16.2" x14ac:dyDescent="0.3">
      <c r="J92" s="138"/>
      <c r="K92" s="20"/>
      <c r="L92" s="15" t="s">
        <v>32</v>
      </c>
      <c r="M92" s="16" t="s">
        <v>6</v>
      </c>
      <c r="N92" s="9">
        <f>'Balance de Nutrientes'!D43</f>
        <v>0</v>
      </c>
      <c r="O92" s="139"/>
    </row>
    <row r="93" spans="10:15" x14ac:dyDescent="0.3">
      <c r="J93" s="138"/>
      <c r="K93" s="20"/>
      <c r="L93" s="15" t="s">
        <v>121</v>
      </c>
      <c r="M93" s="16"/>
      <c r="N93" s="190">
        <f>IFERROR(INDEX(tblFert[N], MATCH($N$91, tblFert[Fertilizante orgánico], 0)), "")</f>
        <v>0</v>
      </c>
      <c r="O93" s="139"/>
    </row>
    <row r="94" spans="10:15" x14ac:dyDescent="0.3">
      <c r="J94" s="138"/>
      <c r="K94" s="20"/>
      <c r="L94" s="15" t="s">
        <v>127</v>
      </c>
      <c r="M94" s="16"/>
      <c r="N94" s="161">
        <f>IFERROR(INDEX(tblFert[P], MATCH($N$91, tblFert[Fertilizante orgánico], 0)), "")</f>
        <v>0</v>
      </c>
      <c r="O94" s="139"/>
    </row>
    <row r="95" spans="10:15" x14ac:dyDescent="0.3">
      <c r="J95" s="138"/>
      <c r="K95" s="20"/>
      <c r="L95" s="15" t="s">
        <v>126</v>
      </c>
      <c r="M95" s="16"/>
      <c r="N95" s="161">
        <f>IFERROR(INDEX(tblFert[K], MATCH($N$91, tblFert[Fertilizante orgánico], 0)), "")</f>
        <v>0</v>
      </c>
      <c r="O95" s="139"/>
    </row>
    <row r="96" spans="10:15" x14ac:dyDescent="0.3">
      <c r="J96" s="138"/>
      <c r="K96" s="20"/>
      <c r="L96" s="15" t="s">
        <v>125</v>
      </c>
      <c r="M96" s="16"/>
      <c r="N96" s="57">
        <f>IFERROR(INDEX(tblFert[Humedad], MATCH($N$91, tblFert[Fertilizante orgánico], 0)), "")</f>
        <v>0</v>
      </c>
      <c r="O96" s="139"/>
    </row>
    <row r="97" spans="6:19" ht="16.2" x14ac:dyDescent="0.3">
      <c r="J97" s="138"/>
      <c r="K97" s="20"/>
      <c r="L97" s="37" t="s">
        <v>7</v>
      </c>
      <c r="M97" s="16" t="s">
        <v>21</v>
      </c>
      <c r="N97" s="77">
        <f>$N$92*(1-IF($N$96&gt;1,$N$96/100,$N$96))*IF($N$93&gt;1,$N$93/100,$N$93)</f>
        <v>0</v>
      </c>
      <c r="O97" s="139"/>
      <c r="S97" t="s">
        <v>192</v>
      </c>
    </row>
    <row r="98" spans="6:19" ht="16.2" x14ac:dyDescent="0.3">
      <c r="J98" s="138"/>
      <c r="K98" s="20"/>
      <c r="L98" s="37" t="s">
        <v>7</v>
      </c>
      <c r="M98" s="16" t="s">
        <v>85</v>
      </c>
      <c r="N98" s="77">
        <f xml:space="preserve"> $N$92 * (1 - IF($N$96&gt;1, $N$96/100, $N$96)) * IF($N$94&gt;1, $N$94/100, $N$94)</f>
        <v>0</v>
      </c>
      <c r="O98" s="139"/>
    </row>
    <row r="99" spans="6:19" ht="16.2" x14ac:dyDescent="0.3">
      <c r="J99" s="138"/>
      <c r="K99" s="20"/>
      <c r="L99" s="37" t="s">
        <v>7</v>
      </c>
      <c r="M99" s="16" t="s">
        <v>86</v>
      </c>
      <c r="N99" s="77">
        <f xml:space="preserve"> $N$92 * (1 - IF($N$96&gt;1, $N$96/100, $N$96)) * IF($N$95&gt;1, $N$95/100, $N$95)</f>
        <v>0</v>
      </c>
      <c r="O99" s="139"/>
    </row>
    <row r="100" spans="6:19" ht="16.2" x14ac:dyDescent="0.3">
      <c r="J100" s="138"/>
      <c r="K100" s="20"/>
      <c r="L100" s="64" t="s">
        <v>20</v>
      </c>
      <c r="M100" s="65" t="s">
        <v>21</v>
      </c>
      <c r="N100" s="66">
        <f>SUM(N61,N70,N88,N79,N97)</f>
        <v>0</v>
      </c>
      <c r="O100" s="139"/>
    </row>
    <row r="101" spans="6:19" ht="16.2" x14ac:dyDescent="0.3">
      <c r="J101" s="138"/>
      <c r="K101" s="20"/>
      <c r="L101" s="64" t="s">
        <v>20</v>
      </c>
      <c r="M101" s="65" t="s">
        <v>85</v>
      </c>
      <c r="N101" s="66">
        <f>SUM(N62,N71,N80,N89,N98)</f>
        <v>0</v>
      </c>
      <c r="O101" s="139"/>
    </row>
    <row r="102" spans="6:19" ht="16.2" x14ac:dyDescent="0.3">
      <c r="J102" s="138"/>
      <c r="K102" s="33"/>
      <c r="L102" s="25" t="s">
        <v>20</v>
      </c>
      <c r="M102" s="26" t="s">
        <v>86</v>
      </c>
      <c r="N102" s="27">
        <f>SUM(N63,N72,N81,N90,N99)</f>
        <v>0</v>
      </c>
      <c r="O102" s="139"/>
    </row>
    <row r="103" spans="6:19" x14ac:dyDescent="0.3">
      <c r="J103" s="138"/>
      <c r="K103" s="16"/>
      <c r="L103" s="15"/>
      <c r="M103" s="16"/>
      <c r="N103" s="36"/>
      <c r="O103" s="139"/>
    </row>
    <row r="104" spans="6:19" ht="18" x14ac:dyDescent="0.35">
      <c r="F104" s="74"/>
      <c r="J104" s="138"/>
      <c r="K104" s="14" t="s">
        <v>25</v>
      </c>
      <c r="L104" s="15"/>
      <c r="M104" s="16"/>
      <c r="N104" s="36"/>
      <c r="O104" s="139"/>
    </row>
    <row r="105" spans="6:19" x14ac:dyDescent="0.3">
      <c r="J105" s="138"/>
      <c r="K105" s="17"/>
      <c r="L105" s="29" t="s">
        <v>31</v>
      </c>
      <c r="M105" s="19" t="s">
        <v>38</v>
      </c>
      <c r="N105" s="8" t="str">
        <f>'Balance de Nutrientes'!D46</f>
        <v>Elige uno de la lista</v>
      </c>
      <c r="O105" s="148"/>
    </row>
    <row r="106" spans="6:19" ht="16.2" x14ac:dyDescent="0.3">
      <c r="J106" s="138"/>
      <c r="K106" s="20"/>
      <c r="L106" s="15" t="s">
        <v>44</v>
      </c>
      <c r="M106" s="16" t="s">
        <v>6</v>
      </c>
      <c r="N106" s="86">
        <f>'Balance de Nutrientes'!D47</f>
        <v>0</v>
      </c>
      <c r="O106" s="148"/>
    </row>
    <row r="107" spans="6:19" x14ac:dyDescent="0.3">
      <c r="J107" s="138"/>
      <c r="K107" s="20"/>
      <c r="L107" s="15" t="s">
        <v>45</v>
      </c>
      <c r="M107" s="16" t="s">
        <v>1</v>
      </c>
      <c r="N107" s="86">
        <f>'Balance de Nutrientes'!D48</f>
        <v>0</v>
      </c>
      <c r="O107" s="148"/>
    </row>
    <row r="108" spans="6:19" x14ac:dyDescent="0.3">
      <c r="J108" s="138"/>
      <c r="K108" s="20"/>
      <c r="L108" s="15" t="s">
        <v>81</v>
      </c>
      <c r="M108" s="16" t="s">
        <v>1</v>
      </c>
      <c r="N108" s="86">
        <f>'Balance de Nutrientes'!D49</f>
        <v>0</v>
      </c>
      <c r="O108" s="148"/>
    </row>
    <row r="109" spans="6:19" x14ac:dyDescent="0.3">
      <c r="J109" s="138"/>
      <c r="K109" s="20"/>
      <c r="L109" s="15" t="s">
        <v>82</v>
      </c>
      <c r="M109" s="16" t="s">
        <v>1</v>
      </c>
      <c r="N109" s="86">
        <f>'Balance de Nutrientes'!D50</f>
        <v>0</v>
      </c>
      <c r="O109" s="148"/>
    </row>
    <row r="110" spans="6:19" ht="16.2" x14ac:dyDescent="0.3">
      <c r="J110" s="138"/>
      <c r="K110" s="20"/>
      <c r="L110" s="37" t="s">
        <v>7</v>
      </c>
      <c r="M110" s="16" t="s">
        <v>21</v>
      </c>
      <c r="N110" s="68">
        <f>$N$106*N107/100</f>
        <v>0</v>
      </c>
      <c r="O110" s="148"/>
    </row>
    <row r="111" spans="6:19" ht="16.2" x14ac:dyDescent="0.3">
      <c r="J111" s="138"/>
      <c r="K111" s="20"/>
      <c r="L111" s="37" t="s">
        <v>7</v>
      </c>
      <c r="M111" s="16" t="s">
        <v>83</v>
      </c>
      <c r="N111" s="68">
        <f>N106*N108/100*IF(OR(N105="NPK granulados",N105="NPK solubles"),0.436,1)</f>
        <v>0</v>
      </c>
      <c r="O111" s="148"/>
    </row>
    <row r="112" spans="6:19" ht="16.2" x14ac:dyDescent="0.3">
      <c r="J112" s="138"/>
      <c r="K112" s="20"/>
      <c r="L112" s="37" t="s">
        <v>7</v>
      </c>
      <c r="M112" s="16" t="s">
        <v>84</v>
      </c>
      <c r="N112" s="68">
        <f>N106*N109/100*IF(OR(N105="NPK granulados",N105="NPK solubles"),0.83,1)</f>
        <v>0</v>
      </c>
      <c r="O112" s="148"/>
    </row>
    <row r="113" spans="10:15" x14ac:dyDescent="0.3">
      <c r="J113" s="138"/>
      <c r="K113" s="30"/>
      <c r="L113" s="29" t="s">
        <v>33</v>
      </c>
      <c r="M113" s="19" t="s">
        <v>38</v>
      </c>
      <c r="N113" s="8" t="str">
        <f>'Balance de Nutrientes'!D52</f>
        <v>Elige uno de la lista</v>
      </c>
      <c r="O113" s="148"/>
    </row>
    <row r="114" spans="10:15" ht="16.2" x14ac:dyDescent="0.3">
      <c r="J114" s="138"/>
      <c r="K114" s="20"/>
      <c r="L114" s="15" t="s">
        <v>44</v>
      </c>
      <c r="M114" s="16" t="s">
        <v>6</v>
      </c>
      <c r="N114" s="9">
        <f>'Balance de Nutrientes'!D53</f>
        <v>0</v>
      </c>
      <c r="O114" s="148"/>
    </row>
    <row r="115" spans="10:15" x14ac:dyDescent="0.3">
      <c r="J115" s="138"/>
      <c r="K115" s="20"/>
      <c r="L115" s="15" t="s">
        <v>45</v>
      </c>
      <c r="M115" s="16" t="s">
        <v>1</v>
      </c>
      <c r="N115" s="221">
        <f>'Balance de Nutrientes'!D54</f>
        <v>0</v>
      </c>
      <c r="O115" s="148"/>
    </row>
    <row r="116" spans="10:15" x14ac:dyDescent="0.3">
      <c r="J116" s="138"/>
      <c r="K116" s="20"/>
      <c r="L116" s="15" t="s">
        <v>81</v>
      </c>
      <c r="M116" s="16" t="s">
        <v>1</v>
      </c>
      <c r="N116" s="221">
        <f>'Balance de Nutrientes'!D55</f>
        <v>0</v>
      </c>
      <c r="O116" s="148"/>
    </row>
    <row r="117" spans="10:15" x14ac:dyDescent="0.3">
      <c r="J117" s="138"/>
      <c r="K117" s="20"/>
      <c r="L117" s="15" t="s">
        <v>82</v>
      </c>
      <c r="M117" s="16" t="s">
        <v>1</v>
      </c>
      <c r="N117" s="7">
        <f>'Balance de Nutrientes'!D56</f>
        <v>0</v>
      </c>
      <c r="O117" s="148"/>
    </row>
    <row r="118" spans="10:15" ht="16.2" x14ac:dyDescent="0.3">
      <c r="J118" s="138"/>
      <c r="K118" s="20"/>
      <c r="L118" s="37" t="s">
        <v>7</v>
      </c>
      <c r="M118" s="16" t="s">
        <v>21</v>
      </c>
      <c r="N118" s="68">
        <f>$N$106*N115/100</f>
        <v>0</v>
      </c>
      <c r="O118" s="148"/>
    </row>
    <row r="119" spans="10:15" ht="16.2" x14ac:dyDescent="0.3">
      <c r="J119" s="138"/>
      <c r="K119" s="20"/>
      <c r="L119" s="37" t="s">
        <v>7</v>
      </c>
      <c r="M119" s="16" t="s">
        <v>83</v>
      </c>
      <c r="N119" s="68">
        <f>N114*N116/100*IF(OR(N113="NPK granulados",N113="NPK solubles"),0.436,1)</f>
        <v>0</v>
      </c>
      <c r="O119" s="148"/>
    </row>
    <row r="120" spans="10:15" ht="16.2" x14ac:dyDescent="0.3">
      <c r="J120" s="138"/>
      <c r="K120" s="33"/>
      <c r="L120" s="37" t="s">
        <v>7</v>
      </c>
      <c r="M120" s="16" t="s">
        <v>84</v>
      </c>
      <c r="N120" s="68">
        <f>N114*N117/100*IF(OR(N113="NPK granulados",N113="NPK solubles"),0.83,1)</f>
        <v>0</v>
      </c>
      <c r="O120" s="148"/>
    </row>
    <row r="121" spans="10:15" x14ac:dyDescent="0.3">
      <c r="J121" s="138"/>
      <c r="K121" s="20"/>
      <c r="L121" s="29" t="s">
        <v>34</v>
      </c>
      <c r="M121" s="19" t="s">
        <v>38</v>
      </c>
      <c r="N121" s="8" t="str">
        <f>'Balance de Nutrientes'!D58</f>
        <v>Elige uno de la lista</v>
      </c>
      <c r="O121" s="148"/>
    </row>
    <row r="122" spans="10:15" ht="16.2" x14ac:dyDescent="0.3">
      <c r="J122" s="138"/>
      <c r="K122" s="20"/>
      <c r="L122" s="15" t="s">
        <v>44</v>
      </c>
      <c r="M122" s="16" t="s">
        <v>6</v>
      </c>
      <c r="N122" s="9">
        <f>'Balance de Nutrientes'!D59</f>
        <v>0</v>
      </c>
      <c r="O122" s="148"/>
    </row>
    <row r="123" spans="10:15" x14ac:dyDescent="0.3">
      <c r="J123" s="138"/>
      <c r="K123" s="20"/>
      <c r="L123" s="15" t="s">
        <v>45</v>
      </c>
      <c r="M123" s="16" t="s">
        <v>1</v>
      </c>
      <c r="N123" s="9">
        <f>'Balance de Nutrientes'!D60</f>
        <v>0</v>
      </c>
      <c r="O123" s="148"/>
    </row>
    <row r="124" spans="10:15" x14ac:dyDescent="0.3">
      <c r="J124" s="138"/>
      <c r="K124" s="20"/>
      <c r="L124" s="15" t="s">
        <v>81</v>
      </c>
      <c r="M124" s="16" t="s">
        <v>1</v>
      </c>
      <c r="N124" s="9">
        <f>'Balance de Nutrientes'!D61</f>
        <v>0</v>
      </c>
      <c r="O124" s="148"/>
    </row>
    <row r="125" spans="10:15" x14ac:dyDescent="0.3">
      <c r="J125" s="138"/>
      <c r="K125" s="20"/>
      <c r="L125" s="15" t="s">
        <v>82</v>
      </c>
      <c r="M125" s="16" t="s">
        <v>1</v>
      </c>
      <c r="N125" s="9">
        <f>'Balance de Nutrientes'!D62</f>
        <v>0</v>
      </c>
      <c r="O125" s="148"/>
    </row>
    <row r="126" spans="10:15" ht="16.2" x14ac:dyDescent="0.3">
      <c r="J126" s="138"/>
      <c r="K126" s="20"/>
      <c r="L126" s="37" t="s">
        <v>7</v>
      </c>
      <c r="M126" s="16" t="s">
        <v>21</v>
      </c>
      <c r="N126" s="68">
        <f>$N$106*N123/100</f>
        <v>0</v>
      </c>
      <c r="O126" s="148"/>
    </row>
    <row r="127" spans="10:15" ht="16.2" x14ac:dyDescent="0.3">
      <c r="J127" s="138"/>
      <c r="K127" s="20"/>
      <c r="L127" s="37" t="s">
        <v>7</v>
      </c>
      <c r="M127" s="16" t="s">
        <v>83</v>
      </c>
      <c r="N127" s="68">
        <f>N122*N124/100*IF(OR(N121="NPK granulados",N121="NPK solubles"),0.436,1)</f>
        <v>0</v>
      </c>
      <c r="O127" s="148"/>
    </row>
    <row r="128" spans="10:15" ht="16.2" x14ac:dyDescent="0.3">
      <c r="J128" s="138"/>
      <c r="K128" s="33"/>
      <c r="L128" s="37" t="s">
        <v>7</v>
      </c>
      <c r="M128" s="16" t="s">
        <v>84</v>
      </c>
      <c r="N128" s="68">
        <f>N122*N125/100*IF(OR(N121="NPK granulados",N121="NPK solubles"),0.83,1)</f>
        <v>0</v>
      </c>
      <c r="O128" s="148"/>
    </row>
    <row r="129" spans="10:16" x14ac:dyDescent="0.3">
      <c r="J129" s="138"/>
      <c r="K129" s="20"/>
      <c r="L129" s="29" t="s">
        <v>35</v>
      </c>
      <c r="M129" s="19" t="s">
        <v>38</v>
      </c>
      <c r="N129" s="8" t="str">
        <f>'Balance de Nutrientes'!D64</f>
        <v>Elige uno de la lista</v>
      </c>
      <c r="O129" s="148"/>
    </row>
    <row r="130" spans="10:16" ht="16.2" x14ac:dyDescent="0.3">
      <c r="J130" s="138"/>
      <c r="K130" s="20"/>
      <c r="L130" s="15" t="s">
        <v>44</v>
      </c>
      <c r="M130" s="16" t="s">
        <v>6</v>
      </c>
      <c r="N130" s="9">
        <f>'Balance de Nutrientes'!D65</f>
        <v>0</v>
      </c>
      <c r="O130" s="148"/>
      <c r="P130" s="67"/>
    </row>
    <row r="131" spans="10:16" x14ac:dyDescent="0.3">
      <c r="J131" s="138"/>
      <c r="K131" s="20"/>
      <c r="L131" s="15" t="s">
        <v>45</v>
      </c>
      <c r="M131" s="16" t="s">
        <v>1</v>
      </c>
      <c r="N131" s="9">
        <f>'Balance de Nutrientes'!D66</f>
        <v>0</v>
      </c>
      <c r="O131" s="148"/>
      <c r="P131" s="67"/>
    </row>
    <row r="132" spans="10:16" x14ac:dyDescent="0.3">
      <c r="J132" s="138"/>
      <c r="K132" s="20"/>
      <c r="L132" s="15" t="s">
        <v>81</v>
      </c>
      <c r="M132" s="16" t="s">
        <v>1</v>
      </c>
      <c r="N132" s="9">
        <f>'Balance de Nutrientes'!D67</f>
        <v>0</v>
      </c>
      <c r="O132" s="148"/>
      <c r="P132" s="67"/>
    </row>
    <row r="133" spans="10:16" x14ac:dyDescent="0.3">
      <c r="J133" s="138"/>
      <c r="K133" s="20"/>
      <c r="L133" s="15" t="s">
        <v>82</v>
      </c>
      <c r="M133" s="16" t="s">
        <v>1</v>
      </c>
      <c r="N133" s="9">
        <f>'Balance de Nutrientes'!D68</f>
        <v>0</v>
      </c>
      <c r="O133" s="148"/>
      <c r="P133" s="67"/>
    </row>
    <row r="134" spans="10:16" ht="16.2" x14ac:dyDescent="0.3">
      <c r="J134" s="138"/>
      <c r="K134" s="20"/>
      <c r="L134" s="37" t="s">
        <v>7</v>
      </c>
      <c r="M134" s="16" t="s">
        <v>21</v>
      </c>
      <c r="N134" s="68">
        <f>$N$106*N131/100</f>
        <v>0</v>
      </c>
      <c r="O134" s="148"/>
    </row>
    <row r="135" spans="10:16" ht="16.2" x14ac:dyDescent="0.3">
      <c r="J135" s="138"/>
      <c r="K135" s="20"/>
      <c r="L135" s="37" t="s">
        <v>7</v>
      </c>
      <c r="M135" s="16" t="s">
        <v>83</v>
      </c>
      <c r="N135" s="68">
        <f>N130*N132/100*IF(OR(N129="NPK granulados",N129="NPK solubles"),0.436,1)</f>
        <v>0</v>
      </c>
      <c r="O135" s="148"/>
    </row>
    <row r="136" spans="10:16" ht="16.2" x14ac:dyDescent="0.3">
      <c r="J136" s="138"/>
      <c r="K136" s="33"/>
      <c r="L136" s="37" t="s">
        <v>7</v>
      </c>
      <c r="M136" s="16" t="s">
        <v>84</v>
      </c>
      <c r="N136" s="68">
        <f>N130*N133/100*IF(OR(N129="NPK granulados",N129="NPK solubles"),0.83,1)</f>
        <v>0</v>
      </c>
      <c r="O136" s="148"/>
    </row>
    <row r="137" spans="10:16" x14ac:dyDescent="0.3">
      <c r="J137" s="138"/>
      <c r="K137" s="20"/>
      <c r="L137" s="29" t="s">
        <v>36</v>
      </c>
      <c r="M137" s="19" t="s">
        <v>38</v>
      </c>
      <c r="N137" s="8" t="str">
        <f>'Balance de Nutrientes'!D70</f>
        <v>Elige uno de la lista</v>
      </c>
      <c r="O137" s="148"/>
    </row>
    <row r="138" spans="10:16" ht="16.2" x14ac:dyDescent="0.3">
      <c r="J138" s="138"/>
      <c r="K138" s="20"/>
      <c r="L138" s="15" t="s">
        <v>44</v>
      </c>
      <c r="M138" s="16" t="s">
        <v>6</v>
      </c>
      <c r="N138" s="9">
        <f>'Balance de Nutrientes'!D71</f>
        <v>0</v>
      </c>
      <c r="O138" s="148"/>
    </row>
    <row r="139" spans="10:16" x14ac:dyDescent="0.3">
      <c r="J139" s="138"/>
      <c r="K139" s="20"/>
      <c r="L139" s="15" t="s">
        <v>45</v>
      </c>
      <c r="M139" s="16" t="s">
        <v>1</v>
      </c>
      <c r="N139" s="9">
        <f>'Balance de Nutrientes'!D72</f>
        <v>0</v>
      </c>
      <c r="O139" s="148"/>
    </row>
    <row r="140" spans="10:16" x14ac:dyDescent="0.3">
      <c r="J140" s="138"/>
      <c r="K140" s="20"/>
      <c r="L140" s="15" t="s">
        <v>81</v>
      </c>
      <c r="M140" s="16" t="s">
        <v>1</v>
      </c>
      <c r="N140" s="9">
        <f>'Balance de Nutrientes'!D73</f>
        <v>0</v>
      </c>
      <c r="O140" s="139"/>
    </row>
    <row r="141" spans="10:16" x14ac:dyDescent="0.3">
      <c r="J141" s="138"/>
      <c r="K141" s="20"/>
      <c r="L141" s="15" t="s">
        <v>82</v>
      </c>
      <c r="M141" s="16" t="s">
        <v>1</v>
      </c>
      <c r="N141" s="9">
        <f>'Balance de Nutrientes'!D74</f>
        <v>0</v>
      </c>
      <c r="O141" s="139"/>
    </row>
    <row r="142" spans="10:16" ht="16.2" x14ac:dyDescent="0.3">
      <c r="J142" s="138"/>
      <c r="K142" s="20"/>
      <c r="L142" s="37" t="s">
        <v>7</v>
      </c>
      <c r="M142" s="16" t="s">
        <v>21</v>
      </c>
      <c r="N142" s="68">
        <f>$N$106*N139/100</f>
        <v>0</v>
      </c>
      <c r="O142" s="139"/>
    </row>
    <row r="143" spans="10:16" ht="16.2" x14ac:dyDescent="0.3">
      <c r="J143" s="138"/>
      <c r="K143" s="20"/>
      <c r="L143" s="37" t="s">
        <v>7</v>
      </c>
      <c r="M143" s="16" t="s">
        <v>83</v>
      </c>
      <c r="N143" s="68">
        <f>N138*N140/100*IF(OR(N137="NPK granulados",N137="NPK solubles"),0.436,1)</f>
        <v>0</v>
      </c>
      <c r="O143" s="139"/>
    </row>
    <row r="144" spans="10:16" ht="16.2" x14ac:dyDescent="0.3">
      <c r="J144" s="138"/>
      <c r="K144" s="33"/>
      <c r="L144" s="37" t="s">
        <v>7</v>
      </c>
      <c r="M144" s="16" t="s">
        <v>84</v>
      </c>
      <c r="N144" s="68">
        <f>N138*N141/100*IF(OR(N137="NPK granulados",N137="NPK solubles"),0.83,1)</f>
        <v>0</v>
      </c>
      <c r="O144" s="139"/>
    </row>
    <row r="145" spans="10:15" x14ac:dyDescent="0.3">
      <c r="J145" s="138"/>
      <c r="K145" s="20"/>
      <c r="L145" s="29" t="s">
        <v>37</v>
      </c>
      <c r="M145" s="19" t="s">
        <v>38</v>
      </c>
      <c r="N145" s="8" t="str">
        <f>'Balance de Nutrientes'!D76</f>
        <v>Elige uno de la lista</v>
      </c>
      <c r="O145" s="148"/>
    </row>
    <row r="146" spans="10:15" ht="16.2" x14ac:dyDescent="0.3">
      <c r="J146" s="138"/>
      <c r="K146" s="20"/>
      <c r="L146" s="15" t="s">
        <v>44</v>
      </c>
      <c r="M146" s="16" t="s">
        <v>6</v>
      </c>
      <c r="N146" s="9">
        <f>'Balance de Nutrientes'!D77</f>
        <v>0</v>
      </c>
      <c r="O146" s="148"/>
    </row>
    <row r="147" spans="10:15" x14ac:dyDescent="0.3">
      <c r="J147" s="138"/>
      <c r="K147" s="20"/>
      <c r="L147" s="15" t="s">
        <v>45</v>
      </c>
      <c r="M147" s="16" t="s">
        <v>1</v>
      </c>
      <c r="N147" s="9">
        <f>'Balance de Nutrientes'!D78</f>
        <v>0</v>
      </c>
      <c r="O147" s="148"/>
    </row>
    <row r="148" spans="10:15" x14ac:dyDescent="0.3">
      <c r="J148" s="138"/>
      <c r="K148" s="20"/>
      <c r="L148" s="15" t="s">
        <v>81</v>
      </c>
      <c r="M148" s="16" t="s">
        <v>1</v>
      </c>
      <c r="N148" s="9">
        <f>'Balance de Nutrientes'!D79</f>
        <v>0</v>
      </c>
      <c r="O148" s="139"/>
    </row>
    <row r="149" spans="10:15" x14ac:dyDescent="0.3">
      <c r="J149" s="138"/>
      <c r="K149" s="20"/>
      <c r="L149" s="15" t="s">
        <v>82</v>
      </c>
      <c r="M149" s="16" t="s">
        <v>1</v>
      </c>
      <c r="N149" s="9">
        <f>'Balance de Nutrientes'!D80</f>
        <v>0</v>
      </c>
      <c r="O149" s="139"/>
    </row>
    <row r="150" spans="10:15" ht="16.2" x14ac:dyDescent="0.3">
      <c r="J150" s="138"/>
      <c r="K150" s="20"/>
      <c r="L150" s="37" t="s">
        <v>7</v>
      </c>
      <c r="M150" s="16" t="s">
        <v>21</v>
      </c>
      <c r="N150" s="68">
        <f>$N$106*N147/100</f>
        <v>0</v>
      </c>
      <c r="O150" s="139"/>
    </row>
    <row r="151" spans="10:15" ht="16.2" x14ac:dyDescent="0.3">
      <c r="J151" s="138"/>
      <c r="K151" s="20"/>
      <c r="L151" s="37" t="s">
        <v>7</v>
      </c>
      <c r="M151" s="16" t="s">
        <v>83</v>
      </c>
      <c r="N151" s="68">
        <f>N146*N148/100*IF(OR(N145="NPK granulados",N145="NPK solubles"),0.436,1)</f>
        <v>0</v>
      </c>
      <c r="O151" s="139"/>
    </row>
    <row r="152" spans="10:15" ht="16.2" x14ac:dyDescent="0.3">
      <c r="J152" s="138"/>
      <c r="K152" s="20"/>
      <c r="L152" s="37" t="s">
        <v>7</v>
      </c>
      <c r="M152" s="16" t="s">
        <v>84</v>
      </c>
      <c r="N152" s="68">
        <f>N146*N149/100*IF(OR(N145="NPK granulados",N145="NPK solubles"),0.83,1)</f>
        <v>0</v>
      </c>
      <c r="O152" s="139"/>
    </row>
    <row r="153" spans="10:15" ht="16.2" x14ac:dyDescent="0.3">
      <c r="J153" s="138"/>
      <c r="K153" s="20"/>
      <c r="L153" s="64" t="s">
        <v>46</v>
      </c>
      <c r="M153" s="65" t="s">
        <v>21</v>
      </c>
      <c r="N153" s="66">
        <f>SUM(N110,N118,N126,N134,N142,N150)</f>
        <v>0</v>
      </c>
      <c r="O153" s="139"/>
    </row>
    <row r="154" spans="10:15" ht="16.2" x14ac:dyDescent="0.3">
      <c r="J154" s="138"/>
      <c r="K154" s="20"/>
      <c r="L154" s="64" t="s">
        <v>46</v>
      </c>
      <c r="M154" s="65" t="s">
        <v>85</v>
      </c>
      <c r="N154" s="66">
        <f>SUM(N111,N119,N127,N135,N143,N151)</f>
        <v>0</v>
      </c>
      <c r="O154" s="139"/>
    </row>
    <row r="155" spans="10:15" ht="16.2" x14ac:dyDescent="0.3">
      <c r="J155" s="138"/>
      <c r="K155" s="33"/>
      <c r="L155" s="25" t="s">
        <v>46</v>
      </c>
      <c r="M155" s="26" t="s">
        <v>86</v>
      </c>
      <c r="N155" s="27">
        <f>SUM(N112,N120,N128,N136,N144,N152)</f>
        <v>0</v>
      </c>
      <c r="O155" s="139"/>
    </row>
    <row r="156" spans="10:15" ht="15" thickBot="1" x14ac:dyDescent="0.35">
      <c r="J156" s="140"/>
      <c r="K156" s="142"/>
      <c r="L156" s="142"/>
      <c r="M156" s="142"/>
      <c r="N156" s="142"/>
      <c r="O156" s="143"/>
    </row>
    <row r="157" spans="10:15" ht="15" thickTop="1" x14ac:dyDescent="0.3"/>
  </sheetData>
  <mergeCells count="8">
    <mergeCell ref="Y50:AC50"/>
    <mergeCell ref="Y51:AC51"/>
    <mergeCell ref="Y52:AC52"/>
    <mergeCell ref="Y49:AC49"/>
    <mergeCell ref="C8:F8"/>
    <mergeCell ref="K8:N8"/>
    <mergeCell ref="R8:U8"/>
    <mergeCell ref="Y8:AB8"/>
  </mergeCells>
  <phoneticPr fontId="24" type="noConversion"/>
  <conditionalFormatting sqref="C2">
    <cfRule type="duplicateValues" dxfId="9" priority="1"/>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6D54-9A1A-41C7-9739-EBDED9B17819}">
  <dimension ref="B1:M57"/>
  <sheetViews>
    <sheetView topLeftCell="A25" workbookViewId="0">
      <selection activeCell="D34" sqref="D34"/>
    </sheetView>
  </sheetViews>
  <sheetFormatPr baseColWidth="10" defaultRowHeight="14.4" x14ac:dyDescent="0.3"/>
  <cols>
    <col min="1" max="1" width="4.5546875" customWidth="1"/>
    <col min="2" max="2" width="32.88671875" bestFit="1" customWidth="1"/>
    <col min="3" max="3" width="20.6640625" customWidth="1"/>
    <col min="4" max="4" width="24.33203125" customWidth="1"/>
    <col min="5" max="5" width="28.21875" customWidth="1"/>
    <col min="6" max="6" width="25" customWidth="1"/>
    <col min="7" max="7" width="54.33203125" bestFit="1" customWidth="1"/>
    <col min="8" max="8" width="40.109375" customWidth="1"/>
    <col min="9" max="11" width="5" bestFit="1" customWidth="1"/>
    <col min="13" max="13" width="27.21875" customWidth="1"/>
  </cols>
  <sheetData>
    <row r="1" spans="2:13" ht="15" thickBot="1" x14ac:dyDescent="0.35"/>
    <row r="2" spans="2:13" x14ac:dyDescent="0.3">
      <c r="B2" s="182" t="s">
        <v>233</v>
      </c>
      <c r="C2" s="181" t="s">
        <v>235</v>
      </c>
      <c r="D2" s="184" t="s">
        <v>247</v>
      </c>
      <c r="E2" s="188" t="s">
        <v>240</v>
      </c>
      <c r="F2" s="183" t="s">
        <v>244</v>
      </c>
      <c r="H2" s="74"/>
    </row>
    <row r="3" spans="2:13" ht="16.2" customHeight="1" x14ac:dyDescent="0.3">
      <c r="B3" s="175" t="s">
        <v>116</v>
      </c>
      <c r="C3" s="177" t="s">
        <v>116</v>
      </c>
      <c r="D3" s="88"/>
      <c r="E3" s="174" t="s">
        <v>116</v>
      </c>
      <c r="F3" s="88"/>
      <c r="H3" s="74"/>
    </row>
    <row r="4" spans="2:13" x14ac:dyDescent="0.3">
      <c r="B4" s="175" t="s">
        <v>231</v>
      </c>
      <c r="C4" s="177" t="s">
        <v>236</v>
      </c>
      <c r="D4" s="185"/>
      <c r="E4" s="174" t="s">
        <v>241</v>
      </c>
      <c r="F4" s="178">
        <v>151</v>
      </c>
    </row>
    <row r="5" spans="2:13" x14ac:dyDescent="0.3">
      <c r="B5" s="175" t="s">
        <v>232</v>
      </c>
      <c r="C5" s="177" t="s">
        <v>237</v>
      </c>
      <c r="D5" s="185">
        <v>1.5</v>
      </c>
      <c r="E5" s="174" t="s">
        <v>242</v>
      </c>
      <c r="F5" s="178">
        <v>270.60000000000002</v>
      </c>
    </row>
    <row r="6" spans="2:13" x14ac:dyDescent="0.3">
      <c r="B6" s="175"/>
      <c r="C6" s="177" t="s">
        <v>238</v>
      </c>
      <c r="D6" s="185">
        <v>2.5</v>
      </c>
      <c r="E6" s="174" t="s">
        <v>243</v>
      </c>
      <c r="F6" s="178">
        <v>375.5</v>
      </c>
    </row>
    <row r="7" spans="2:13" ht="15" thickBot="1" x14ac:dyDescent="0.35">
      <c r="B7" s="176"/>
      <c r="C7" s="179" t="s">
        <v>239</v>
      </c>
      <c r="D7" s="186">
        <v>3.5</v>
      </c>
      <c r="E7" s="187"/>
      <c r="F7" s="180" t="s">
        <v>245</v>
      </c>
    </row>
    <row r="8" spans="2:13" ht="15.6" customHeight="1" x14ac:dyDescent="0.3"/>
    <row r="9" spans="2:13" ht="19.2" customHeight="1" x14ac:dyDescent="0.3">
      <c r="M9" s="71"/>
    </row>
    <row r="10" spans="2:13" x14ac:dyDescent="0.3">
      <c r="C10" t="s">
        <v>300</v>
      </c>
      <c r="D10" t="s">
        <v>300</v>
      </c>
      <c r="E10" t="s">
        <v>300</v>
      </c>
      <c r="M10" s="72"/>
    </row>
    <row r="11" spans="2:13" x14ac:dyDescent="0.3">
      <c r="B11" s="108" t="s">
        <v>120</v>
      </c>
      <c r="C11" s="109" t="s">
        <v>117</v>
      </c>
      <c r="D11" s="109" t="s">
        <v>188</v>
      </c>
      <c r="E11" s="110" t="s">
        <v>118</v>
      </c>
      <c r="F11" s="110" t="s">
        <v>119</v>
      </c>
      <c r="I11" s="322" t="s">
        <v>1</v>
      </c>
      <c r="J11" s="322"/>
      <c r="K11" s="322"/>
      <c r="M11" s="71"/>
    </row>
    <row r="12" spans="2:13" x14ac:dyDescent="0.3">
      <c r="B12" s="108" t="s">
        <v>116</v>
      </c>
      <c r="C12" s="111">
        <v>0</v>
      </c>
      <c r="D12" s="111">
        <v>0</v>
      </c>
      <c r="E12" s="112">
        <v>0</v>
      </c>
      <c r="F12" s="113">
        <v>0</v>
      </c>
      <c r="H12" s="69" t="s">
        <v>106</v>
      </c>
      <c r="I12" s="193" t="s">
        <v>117</v>
      </c>
      <c r="J12" s="193" t="s">
        <v>248</v>
      </c>
      <c r="K12" s="193" t="s">
        <v>118</v>
      </c>
      <c r="M12" s="72"/>
    </row>
    <row r="13" spans="2:13" x14ac:dyDescent="0.3">
      <c r="B13" s="114" t="s">
        <v>227</v>
      </c>
      <c r="C13" s="207">
        <v>3.1E-2</v>
      </c>
      <c r="D13" s="208">
        <v>4.1999999999999997E-3</v>
      </c>
      <c r="E13" s="116">
        <v>3.6499999999999998E-2</v>
      </c>
      <c r="F13" s="117">
        <v>0.55000000000000004</v>
      </c>
      <c r="G13">
        <v>55</v>
      </c>
      <c r="H13" s="107" t="s">
        <v>116</v>
      </c>
      <c r="I13" s="88"/>
      <c r="J13" s="88"/>
      <c r="K13" s="88"/>
      <c r="M13" s="71"/>
    </row>
    <row r="14" spans="2:13" ht="18" customHeight="1" x14ac:dyDescent="0.3">
      <c r="B14" s="114" t="s">
        <v>226</v>
      </c>
      <c r="C14" s="115">
        <v>2.4299999999999999E-2</v>
      </c>
      <c r="D14" s="115">
        <v>4.3E-3</v>
      </c>
      <c r="E14" s="116">
        <v>1.84E-2</v>
      </c>
      <c r="F14" s="117">
        <v>0.35</v>
      </c>
      <c r="H14" s="70" t="s">
        <v>99</v>
      </c>
      <c r="I14" s="88"/>
      <c r="J14" s="88"/>
      <c r="K14" s="88"/>
    </row>
    <row r="15" spans="2:13" ht="16.8" customHeight="1" x14ac:dyDescent="0.3">
      <c r="B15" s="114" t="s">
        <v>228</v>
      </c>
      <c r="C15" s="115">
        <v>1.34E-2</v>
      </c>
      <c r="D15" s="115">
        <v>2.5000000000000001E-3</v>
      </c>
      <c r="E15" s="116">
        <v>2.545E-2</v>
      </c>
      <c r="F15" s="117">
        <v>0.35</v>
      </c>
      <c r="H15" s="70" t="s">
        <v>115</v>
      </c>
      <c r="I15" s="88"/>
      <c r="J15" s="88"/>
      <c r="K15" s="88"/>
      <c r="M15" s="73"/>
    </row>
    <row r="16" spans="2:13" x14ac:dyDescent="0.3">
      <c r="B16" s="114" t="s">
        <v>229</v>
      </c>
      <c r="C16" s="115">
        <v>5.3999999999999999E-2</v>
      </c>
      <c r="D16" s="115">
        <v>1.49E-2</v>
      </c>
      <c r="E16" s="116">
        <v>2.7400000000000001E-2</v>
      </c>
      <c r="F16" s="117">
        <v>0.4</v>
      </c>
      <c r="H16" s="70" t="s">
        <v>100</v>
      </c>
      <c r="I16" s="88">
        <v>21</v>
      </c>
      <c r="J16" s="88"/>
      <c r="K16" s="88"/>
    </row>
    <row r="17" spans="2:11" x14ac:dyDescent="0.3">
      <c r="B17" s="114" t="s">
        <v>230</v>
      </c>
      <c r="C17" s="115">
        <v>0.01</v>
      </c>
      <c r="D17" s="115">
        <v>2.5000000000000001E-3</v>
      </c>
      <c r="E17" s="116">
        <v>8.9999999999999993E-3</v>
      </c>
      <c r="F17" s="117">
        <v>0.45</v>
      </c>
      <c r="H17" s="70" t="s">
        <v>101</v>
      </c>
      <c r="I17" s="88">
        <v>46</v>
      </c>
      <c r="J17" s="88"/>
      <c r="K17" s="88"/>
    </row>
    <row r="18" spans="2:11" x14ac:dyDescent="0.3">
      <c r="B18" s="114" t="s">
        <v>39</v>
      </c>
      <c r="C18" s="115">
        <v>0.02</v>
      </c>
      <c r="D18" s="115">
        <v>2.2000000000000001E-3</v>
      </c>
      <c r="E18" s="116">
        <v>1.7999999999999999E-2</v>
      </c>
      <c r="F18" s="117">
        <v>0.2</v>
      </c>
      <c r="H18" s="70" t="s">
        <v>102</v>
      </c>
      <c r="I18" s="88"/>
      <c r="J18" s="88"/>
      <c r="K18" s="88">
        <v>41.5</v>
      </c>
    </row>
    <row r="19" spans="2:11" x14ac:dyDescent="0.3">
      <c r="B19" s="114" t="s">
        <v>40</v>
      </c>
      <c r="C19" s="115">
        <v>2.5999999999999999E-3</v>
      </c>
      <c r="D19" s="115">
        <v>7.1000000000000002E-4</v>
      </c>
      <c r="E19" s="116">
        <v>6.7000000000000002E-3</v>
      </c>
      <c r="F19" s="117">
        <v>0.09</v>
      </c>
      <c r="H19" s="70" t="s">
        <v>103</v>
      </c>
      <c r="I19" s="88">
        <v>15.5</v>
      </c>
      <c r="J19" s="88"/>
      <c r="K19" s="88"/>
    </row>
    <row r="20" spans="2:11" x14ac:dyDescent="0.3">
      <c r="B20" s="114" t="s">
        <v>41</v>
      </c>
      <c r="C20" s="115">
        <v>0.05</v>
      </c>
      <c r="D20" s="115">
        <v>0.03</v>
      </c>
      <c r="E20" s="116">
        <v>0.1</v>
      </c>
      <c r="F20" s="117">
        <v>0.1</v>
      </c>
      <c r="H20" s="70" t="s">
        <v>112</v>
      </c>
      <c r="I20" s="88">
        <v>11</v>
      </c>
      <c r="J20" s="88">
        <v>22.7</v>
      </c>
      <c r="K20" s="88"/>
    </row>
    <row r="21" spans="2:11" x14ac:dyDescent="0.3">
      <c r="B21" s="118" t="s">
        <v>42</v>
      </c>
      <c r="C21" s="119">
        <v>0.03</v>
      </c>
      <c r="D21" s="119">
        <v>0.02</v>
      </c>
      <c r="E21" s="120">
        <v>0.02</v>
      </c>
      <c r="F21" s="121">
        <v>0.1</v>
      </c>
      <c r="H21" s="70" t="s">
        <v>104</v>
      </c>
      <c r="I21" s="88">
        <v>13</v>
      </c>
      <c r="J21" s="88"/>
      <c r="K21" s="88">
        <v>38.200000000000003</v>
      </c>
    </row>
    <row r="22" spans="2:11" x14ac:dyDescent="0.3">
      <c r="B22" s="118" t="s">
        <v>43</v>
      </c>
      <c r="C22" s="119">
        <v>1.2999999999999999E-2</v>
      </c>
      <c r="D22" s="119">
        <v>8.7000000000000001E-4</v>
      </c>
      <c r="E22" s="120">
        <v>5.4999999999999997E-3</v>
      </c>
      <c r="F22" s="122">
        <v>0.45</v>
      </c>
      <c r="H22" s="70" t="s">
        <v>109</v>
      </c>
      <c r="I22" s="88">
        <v>18</v>
      </c>
      <c r="J22" s="88">
        <v>20.100000000000001</v>
      </c>
      <c r="K22" s="88"/>
    </row>
    <row r="23" spans="2:11" x14ac:dyDescent="0.3">
      <c r="H23" s="70" t="s">
        <v>105</v>
      </c>
      <c r="I23" s="88"/>
      <c r="J23" s="88"/>
      <c r="K23" s="88">
        <v>49.8</v>
      </c>
    </row>
    <row r="24" spans="2:11" x14ac:dyDescent="0.3">
      <c r="H24" s="70" t="s">
        <v>107</v>
      </c>
      <c r="I24" s="88"/>
      <c r="J24" s="88">
        <v>8.5</v>
      </c>
      <c r="K24" s="88"/>
    </row>
    <row r="25" spans="2:11" x14ac:dyDescent="0.3">
      <c r="H25" s="70" t="s">
        <v>108</v>
      </c>
      <c r="I25" s="88"/>
      <c r="J25" s="88">
        <v>20</v>
      </c>
      <c r="K25" s="88"/>
    </row>
    <row r="26" spans="2:11" ht="28.8" x14ac:dyDescent="0.3">
      <c r="B26" s="103" t="s">
        <v>172</v>
      </c>
      <c r="C26" s="104" t="s">
        <v>173</v>
      </c>
      <c r="E26" s="89" t="s">
        <v>146</v>
      </c>
      <c r="F26" s="70" t="s">
        <v>150</v>
      </c>
      <c r="H26" s="70" t="s">
        <v>111</v>
      </c>
      <c r="I26" s="88">
        <v>34</v>
      </c>
      <c r="J26" s="88"/>
      <c r="K26" s="88"/>
    </row>
    <row r="27" spans="2:11" x14ac:dyDescent="0.3">
      <c r="B27" s="107" t="s">
        <v>116</v>
      </c>
      <c r="C27" s="88"/>
      <c r="E27" s="90" t="s">
        <v>116</v>
      </c>
      <c r="F27" s="88"/>
      <c r="H27" s="70" t="s">
        <v>110</v>
      </c>
      <c r="I27" s="88">
        <v>23</v>
      </c>
      <c r="J27" s="88"/>
      <c r="K27" s="88"/>
    </row>
    <row r="28" spans="2:11" x14ac:dyDescent="0.3">
      <c r="B28" s="105" t="s">
        <v>174</v>
      </c>
      <c r="C28" s="106">
        <v>3</v>
      </c>
      <c r="E28" s="91" t="s">
        <v>149</v>
      </c>
      <c r="F28" s="93">
        <v>1.4999999999999999E-2</v>
      </c>
      <c r="H28" s="75" t="s">
        <v>113</v>
      </c>
      <c r="I28" s="88">
        <v>11</v>
      </c>
      <c r="J28" s="88"/>
      <c r="K28" s="88"/>
    </row>
    <row r="29" spans="2:11" x14ac:dyDescent="0.3">
      <c r="B29" s="105" t="s">
        <v>175</v>
      </c>
      <c r="C29" s="106">
        <v>12</v>
      </c>
      <c r="E29" s="91" t="s">
        <v>148</v>
      </c>
      <c r="F29" s="93">
        <v>2.1000000000000001E-2</v>
      </c>
      <c r="H29" s="70" t="s">
        <v>114</v>
      </c>
      <c r="I29" s="88"/>
      <c r="J29" s="88">
        <v>25</v>
      </c>
      <c r="K29" s="88"/>
    </row>
    <row r="30" spans="2:11" x14ac:dyDescent="0.3">
      <c r="B30" s="105" t="s">
        <v>176</v>
      </c>
      <c r="C30" s="106">
        <v>30</v>
      </c>
      <c r="E30" s="196" t="s">
        <v>261</v>
      </c>
      <c r="F30" s="197">
        <v>2.7E-2</v>
      </c>
    </row>
    <row r="31" spans="2:11" x14ac:dyDescent="0.3">
      <c r="B31" s="105" t="s">
        <v>177</v>
      </c>
      <c r="C31" s="106">
        <v>50</v>
      </c>
      <c r="E31" s="198"/>
      <c r="F31" s="199"/>
    </row>
    <row r="32" spans="2:11" x14ac:dyDescent="0.3">
      <c r="B32" s="88"/>
      <c r="C32" s="88"/>
    </row>
    <row r="33" spans="2:6" ht="16.2" x14ac:dyDescent="0.3">
      <c r="B33" s="103" t="s">
        <v>178</v>
      </c>
      <c r="C33" s="104" t="s">
        <v>179</v>
      </c>
      <c r="E33" s="192" t="s">
        <v>49</v>
      </c>
      <c r="F33" s="70" t="s">
        <v>265</v>
      </c>
    </row>
    <row r="34" spans="2:6" x14ac:dyDescent="0.3">
      <c r="B34" s="107" t="s">
        <v>116</v>
      </c>
      <c r="C34" s="88"/>
      <c r="E34" s="92" t="s">
        <v>249</v>
      </c>
      <c r="F34" s="106">
        <v>14.15</v>
      </c>
    </row>
    <row r="35" spans="2:6" x14ac:dyDescent="0.3">
      <c r="B35" s="105" t="s">
        <v>180</v>
      </c>
      <c r="C35" s="106" t="s">
        <v>181</v>
      </c>
      <c r="E35" s="92" t="s">
        <v>250</v>
      </c>
      <c r="F35" s="106">
        <v>9.1999999999999993</v>
      </c>
    </row>
    <row r="36" spans="2:6" x14ac:dyDescent="0.3">
      <c r="B36" s="105" t="s">
        <v>182</v>
      </c>
      <c r="C36" s="106" t="s">
        <v>183</v>
      </c>
      <c r="E36" s="74"/>
      <c r="F36" s="191"/>
    </row>
    <row r="37" spans="2:6" x14ac:dyDescent="0.3">
      <c r="B37" s="105" t="s">
        <v>184</v>
      </c>
      <c r="C37" s="106" t="s">
        <v>185</v>
      </c>
      <c r="E37" s="70" t="s">
        <v>251</v>
      </c>
      <c r="F37" s="74"/>
    </row>
    <row r="38" spans="2:6" x14ac:dyDescent="0.3">
      <c r="B38" s="105" t="s">
        <v>186</v>
      </c>
      <c r="C38" s="106" t="s">
        <v>187</v>
      </c>
      <c r="E38" s="107" t="s">
        <v>116</v>
      </c>
    </row>
    <row r="39" spans="2:6" x14ac:dyDescent="0.3">
      <c r="E39" s="88" t="s">
        <v>252</v>
      </c>
    </row>
    <row r="40" spans="2:6" ht="19.2" customHeight="1" x14ac:dyDescent="0.3">
      <c r="E40" s="88" t="s">
        <v>253</v>
      </c>
    </row>
    <row r="41" spans="2:6" x14ac:dyDescent="0.3">
      <c r="B41" s="323" t="s">
        <v>50</v>
      </c>
      <c r="C41" s="323"/>
    </row>
    <row r="42" spans="2:6" x14ac:dyDescent="0.3">
      <c r="B42" s="194" t="s">
        <v>257</v>
      </c>
      <c r="C42" s="70" t="s">
        <v>259</v>
      </c>
    </row>
    <row r="43" spans="2:6" x14ac:dyDescent="0.3">
      <c r="B43" s="107" t="s">
        <v>116</v>
      </c>
      <c r="C43" s="88"/>
    </row>
    <row r="44" spans="2:6" x14ac:dyDescent="0.3">
      <c r="B44" s="107" t="s">
        <v>260</v>
      </c>
      <c r="C44" s="88">
        <v>50</v>
      </c>
    </row>
    <row r="45" spans="2:6" x14ac:dyDescent="0.3">
      <c r="B45" s="88" t="s">
        <v>258</v>
      </c>
      <c r="C45" s="88">
        <v>25</v>
      </c>
    </row>
    <row r="47" spans="2:6" x14ac:dyDescent="0.3">
      <c r="E47" s="35"/>
      <c r="F47" s="35"/>
    </row>
    <row r="48" spans="2:6" x14ac:dyDescent="0.3">
      <c r="E48" s="203"/>
      <c r="F48" s="203"/>
    </row>
    <row r="49" spans="2:6" x14ac:dyDescent="0.3">
      <c r="E49" s="204"/>
      <c r="F49" s="204"/>
    </row>
    <row r="50" spans="2:6" x14ac:dyDescent="0.3">
      <c r="B50" s="206" t="s">
        <v>295</v>
      </c>
      <c r="E50" s="204"/>
      <c r="F50" s="204"/>
    </row>
    <row r="51" spans="2:6" x14ac:dyDescent="0.3">
      <c r="B51" s="70" t="s">
        <v>272</v>
      </c>
      <c r="C51" s="70" t="s">
        <v>273</v>
      </c>
      <c r="D51" s="70" t="s">
        <v>274</v>
      </c>
      <c r="E51" s="70" t="s">
        <v>275</v>
      </c>
      <c r="F51" s="70" t="s">
        <v>276</v>
      </c>
    </row>
    <row r="52" spans="2:6" x14ac:dyDescent="0.3">
      <c r="B52" s="88" t="s">
        <v>277</v>
      </c>
      <c r="C52" s="88" t="s">
        <v>278</v>
      </c>
      <c r="D52" s="88">
        <v>0.75</v>
      </c>
      <c r="E52" s="88" t="s">
        <v>279</v>
      </c>
      <c r="F52" s="88" t="s">
        <v>280</v>
      </c>
    </row>
    <row r="53" spans="2:6" x14ac:dyDescent="0.3">
      <c r="B53" s="88" t="s">
        <v>281</v>
      </c>
      <c r="C53" s="88" t="s">
        <v>282</v>
      </c>
      <c r="D53" s="88">
        <v>1.5</v>
      </c>
      <c r="E53" s="88" t="s">
        <v>283</v>
      </c>
      <c r="F53" s="88" t="s">
        <v>284</v>
      </c>
    </row>
    <row r="54" spans="2:6" x14ac:dyDescent="0.3">
      <c r="B54" s="88" t="s">
        <v>268</v>
      </c>
      <c r="C54" s="88" t="s">
        <v>285</v>
      </c>
      <c r="D54" s="88">
        <v>2.25</v>
      </c>
      <c r="E54" s="88" t="s">
        <v>286</v>
      </c>
      <c r="F54" s="88" t="s">
        <v>287</v>
      </c>
    </row>
    <row r="55" spans="2:6" x14ac:dyDescent="0.3">
      <c r="B55" s="88" t="s">
        <v>269</v>
      </c>
      <c r="C55" s="88" t="s">
        <v>288</v>
      </c>
      <c r="D55" s="88">
        <v>3</v>
      </c>
      <c r="E55" s="88" t="s">
        <v>299</v>
      </c>
      <c r="F55" s="88" t="s">
        <v>289</v>
      </c>
    </row>
    <row r="56" spans="2:6" x14ac:dyDescent="0.3">
      <c r="B56" s="88" t="s">
        <v>270</v>
      </c>
      <c r="C56" s="88" t="s">
        <v>290</v>
      </c>
      <c r="D56" s="88">
        <v>3.5</v>
      </c>
      <c r="E56" s="88" t="s">
        <v>298</v>
      </c>
      <c r="F56" s="88" t="s">
        <v>291</v>
      </c>
    </row>
    <row r="57" spans="2:6" x14ac:dyDescent="0.3">
      <c r="B57" s="88" t="s">
        <v>271</v>
      </c>
      <c r="C57" s="88" t="s">
        <v>292</v>
      </c>
      <c r="D57" s="205" t="s">
        <v>293</v>
      </c>
      <c r="E57" s="88" t="s">
        <v>297</v>
      </c>
      <c r="F57" s="88" t="s">
        <v>294</v>
      </c>
    </row>
  </sheetData>
  <mergeCells count="2">
    <mergeCell ref="I11:K11"/>
    <mergeCell ref="B41:C41"/>
  </mergeCells>
  <dataValidations disablePrompts="1" count="1">
    <dataValidation type="list" allowBlank="1" showInputMessage="1" showErrorMessage="1" sqref="N14" xr:uid="{85E8046D-9EF2-4B4C-9EAE-3B5AD216B383}">
      <formula1>$E$27:$E$28</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Balance de Nutrientes</vt:lpstr>
      <vt:lpstr>Balance de Nutrientes oculto</vt:lpstr>
      <vt:lpstr>FERTILIZANTES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dc:creator>
  <cp:lastModifiedBy>UJA</cp:lastModifiedBy>
  <dcterms:created xsi:type="dcterms:W3CDTF">2020-11-20T17:42:04Z</dcterms:created>
  <dcterms:modified xsi:type="dcterms:W3CDTF">2025-12-18T12:25:58Z</dcterms:modified>
</cp:coreProperties>
</file>