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never" defaultThemeVersion="166925"/>
  <mc:AlternateContent xmlns:mc="http://schemas.openxmlformats.org/markup-compatibility/2006">
    <mc:Choice Requires="x15">
      <x15ac:absPath xmlns:x15ac="http://schemas.microsoft.com/office/spreadsheetml/2010/11/ac" url="C:\Users\UJA\Desktop\"/>
    </mc:Choice>
  </mc:AlternateContent>
  <xr:revisionPtr revIDLastSave="0" documentId="13_ncr:1_{1F98D977-6F87-48F6-8F5A-DEDAEAA9D525}" xr6:coauthVersionLast="47" xr6:coauthVersionMax="47" xr10:uidLastSave="{00000000-0000-0000-0000-000000000000}"/>
  <workbookProtection workbookAlgorithmName="SHA-512" workbookHashValue="0Pr0fhgQR0aMLEg5/E9cIWv6TgUed/v01XbkDUMVe3JxmiH2RkKIZWRPzKaD4YEclut6SmOho+bwelJLlOOM9w==" workbookSaltValue="0tFESHkZskkqQ2smx0l9TQ==" workbookSpinCount="100000" lockStructure="1"/>
  <bookViews>
    <workbookView xWindow="-108" yWindow="-108" windowWidth="23256" windowHeight="12456" tabRatio="580" xr2:uid="{F5AC3DF9-D681-4EDB-B9A1-C0139DAB7438}"/>
  </bookViews>
  <sheets>
    <sheet name="Balance de Nutrientes" sheetId="9" r:id="rId1"/>
    <sheet name="Balance de Nutrientes oculto" sheetId="1" state="hidden" r:id="rId2"/>
    <sheet name="FERTILIZANTES" sheetId="7" state="hidden" r:id="rId3"/>
  </sheets>
  <externalReferences>
    <externalReference r:id="rId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96" i="1" l="1"/>
  <c r="N95" i="1"/>
  <c r="N94" i="1"/>
  <c r="N93" i="1"/>
  <c r="N87" i="1"/>
  <c r="N86" i="1"/>
  <c r="N85" i="1"/>
  <c r="N84" i="1"/>
  <c r="N78" i="1"/>
  <c r="N77" i="1"/>
  <c r="N76" i="1"/>
  <c r="N75" i="1"/>
  <c r="N69" i="1"/>
  <c r="N68" i="1"/>
  <c r="N67" i="1"/>
  <c r="N66" i="1"/>
  <c r="N41" i="1"/>
  <c r="D56" i="9"/>
  <c r="D55" i="9"/>
  <c r="D54" i="9"/>
  <c r="G12" i="1"/>
  <c r="N11" i="1" l="1"/>
  <c r="N17" i="1" s="1"/>
  <c r="AB15" i="1" s="1"/>
  <c r="U11" i="1"/>
  <c r="U16" i="1" s="1"/>
  <c r="N117" i="1"/>
  <c r="N116" i="1"/>
  <c r="N115" i="1"/>
  <c r="D66" i="9"/>
  <c r="N131" i="1" s="1"/>
  <c r="D67" i="9"/>
  <c r="N132" i="1" s="1"/>
  <c r="D68" i="9"/>
  <c r="N133" i="1" s="1"/>
  <c r="D62" i="9"/>
  <c r="N125" i="1" s="1"/>
  <c r="D60" i="9"/>
  <c r="N123" i="1" s="1"/>
  <c r="D61" i="9"/>
  <c r="N124" i="1" s="1"/>
  <c r="D48" i="9"/>
  <c r="N107" i="1" s="1"/>
  <c r="D49" i="9"/>
  <c r="N108" i="1" s="1"/>
  <c r="D50" i="9"/>
  <c r="N109" i="1" s="1"/>
  <c r="N106" i="1"/>
  <c r="N105" i="1"/>
  <c r="N92" i="1"/>
  <c r="N91" i="1"/>
  <c r="U32" i="1"/>
  <c r="U69" i="1"/>
  <c r="U70" i="1"/>
  <c r="V71" i="1" s="1"/>
  <c r="N45" i="1"/>
  <c r="N51" i="1" s="1"/>
  <c r="N55" i="1"/>
  <c r="N56" i="1"/>
  <c r="N64" i="1"/>
  <c r="N65" i="1"/>
  <c r="N74" i="1"/>
  <c r="N73" i="1"/>
  <c r="N83" i="1"/>
  <c r="N82" i="1"/>
  <c r="D74" i="9"/>
  <c r="N141" i="1" s="1"/>
  <c r="D80" i="9"/>
  <c r="N149" i="1" s="1"/>
  <c r="D73" i="9"/>
  <c r="N140" i="1" s="1"/>
  <c r="D79" i="9"/>
  <c r="N148" i="1" s="1"/>
  <c r="G14" i="1"/>
  <c r="N27" i="1"/>
  <c r="N28" i="1"/>
  <c r="N29" i="1"/>
  <c r="N42" i="1"/>
  <c r="D72" i="9"/>
  <c r="N139" i="1" s="1"/>
  <c r="D78" i="9"/>
  <c r="N147" i="1" s="1"/>
  <c r="U43" i="1"/>
  <c r="U44" i="1" s="1"/>
  <c r="U48" i="1" s="1"/>
  <c r="U60" i="1"/>
  <c r="G13" i="1"/>
  <c r="N145" i="1"/>
  <c r="N146" i="1"/>
  <c r="N137" i="1"/>
  <c r="N138" i="1"/>
  <c r="N129" i="1"/>
  <c r="N130" i="1"/>
  <c r="N121" i="1"/>
  <c r="N122" i="1"/>
  <c r="N113" i="1"/>
  <c r="N114" i="1"/>
  <c r="N24" i="1"/>
  <c r="N23" i="1"/>
  <c r="V69" i="1" l="1" a="1"/>
  <c r="V69" i="1" s="1"/>
  <c r="U71" i="1" s="1"/>
  <c r="U76" i="1" s="1"/>
  <c r="AB25" i="1" s="1"/>
  <c r="V61" i="1"/>
  <c r="U61" i="1" s="1"/>
  <c r="N59" i="1"/>
  <c r="N60" i="1"/>
  <c r="N62" i="1" s="1"/>
  <c r="N58" i="1"/>
  <c r="N57" i="1"/>
  <c r="N81" i="1"/>
  <c r="N79" i="1"/>
  <c r="N144" i="1"/>
  <c r="N71" i="1"/>
  <c r="N143" i="1"/>
  <c r="N128" i="1"/>
  <c r="N136" i="1"/>
  <c r="N135" i="1"/>
  <c r="N120" i="1"/>
  <c r="N30" i="1"/>
  <c r="N31" i="1" s="1"/>
  <c r="N37" i="1" s="1"/>
  <c r="N127" i="1"/>
  <c r="N152" i="1"/>
  <c r="N151" i="1"/>
  <c r="N80" i="1"/>
  <c r="U33" i="1"/>
  <c r="N15" i="1"/>
  <c r="N16" i="1"/>
  <c r="AB13" i="1" s="1"/>
  <c r="U26" i="1"/>
  <c r="U25" i="1"/>
  <c r="U17" i="1"/>
  <c r="N119" i="1"/>
  <c r="N126" i="1"/>
  <c r="N118" i="1"/>
  <c r="N111" i="1"/>
  <c r="N134" i="1"/>
  <c r="N150" i="1"/>
  <c r="N142" i="1"/>
  <c r="N110" i="1"/>
  <c r="N112" i="1"/>
  <c r="N50" i="1"/>
  <c r="N52" i="1"/>
  <c r="U34" i="1"/>
  <c r="U38" i="1" s="1"/>
  <c r="G15" i="1"/>
  <c r="U18" i="1"/>
  <c r="U24" i="1"/>
  <c r="U27" i="1" s="1"/>
  <c r="AB22" i="1" s="1"/>
  <c r="N63" i="1" l="1"/>
  <c r="N61" i="1"/>
  <c r="U64" i="1"/>
  <c r="U72" i="1"/>
  <c r="U54" i="1"/>
  <c r="AB11" i="1"/>
  <c r="N153" i="1"/>
  <c r="U46" i="1" s="1"/>
  <c r="N99" i="1"/>
  <c r="N154" i="1"/>
  <c r="N98" i="1"/>
  <c r="N97" i="1"/>
  <c r="N155" i="1"/>
  <c r="N70" i="1"/>
  <c r="U29" i="1"/>
  <c r="N72" i="1"/>
  <c r="U39" i="1"/>
  <c r="N88" i="1"/>
  <c r="N89" i="1"/>
  <c r="N101" i="1" s="1"/>
  <c r="U28" i="1"/>
  <c r="AB24" i="1" s="1"/>
  <c r="AB29" i="1" s="1"/>
  <c r="N90" i="1"/>
  <c r="U75" i="1"/>
  <c r="U77" i="1"/>
  <c r="AB27" i="1" s="1"/>
  <c r="U40" i="1"/>
  <c r="G18" i="1"/>
  <c r="D109" i="9" s="1"/>
  <c r="G17" i="1"/>
  <c r="D108" i="9" s="1"/>
  <c r="G16" i="1"/>
  <c r="D107" i="9" s="1"/>
  <c r="N102" i="1" l="1"/>
  <c r="AB16" i="1" s="1"/>
  <c r="AB19" i="1" s="1"/>
  <c r="AB39" i="1" s="1"/>
  <c r="AB26" i="1"/>
  <c r="AB30" i="1" s="1"/>
  <c r="N100" i="1"/>
  <c r="AB12" i="1" s="1"/>
  <c r="AB17" i="1" s="1"/>
  <c r="AB37" i="1" s="1"/>
  <c r="U56" i="1"/>
  <c r="AB14" i="1"/>
  <c r="AB18" i="1" s="1"/>
  <c r="U45" i="1" l="1"/>
  <c r="U47" i="1" s="1"/>
  <c r="U49" i="1" s="1"/>
  <c r="U50" i="1" s="1"/>
  <c r="U55" i="1"/>
  <c r="U57" i="1" s="1"/>
  <c r="AB35" i="1"/>
  <c r="D104" i="9" s="1"/>
  <c r="C115" i="9" s="1"/>
  <c r="AB34" i="1"/>
  <c r="D103" i="9" s="1"/>
  <c r="C114" i="9" s="1"/>
  <c r="AB38" i="1"/>
  <c r="U65" i="1" l="1"/>
  <c r="U66" i="1" s="1"/>
  <c r="AB23" i="1" l="1"/>
  <c r="AB28" i="1" s="1"/>
  <c r="AB33" i="1" s="1"/>
  <c r="D102" i="9" s="1"/>
  <c r="C11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author>
    <author>UJA</author>
  </authors>
  <commentList>
    <comment ref="S11" authorId="0" shapeId="0" xr:uid="{5D83562B-6D4C-48FF-8CC5-661C18AB41D4}">
      <text>
        <r>
          <rPr>
            <sz val="9"/>
            <color indexed="81"/>
            <rFont val="Tahoma"/>
            <family val="2"/>
          </rPr>
          <t>Only fruits</t>
        </r>
      </text>
    </comment>
    <comment ref="S12" authorId="0" shapeId="0" xr:uid="{9B99106B-426A-4C8A-801D-2BCD64EC852C}">
      <text>
        <r>
          <rPr>
            <sz val="9"/>
            <color indexed="81"/>
            <rFont val="Tahoma"/>
            <family val="2"/>
          </rPr>
          <t xml:space="preserve">According to current studies </t>
        </r>
        <r>
          <rPr>
            <b/>
            <sz val="9"/>
            <color indexed="81"/>
            <rFont val="Tahoma"/>
            <family val="2"/>
          </rPr>
          <t>OR</t>
        </r>
        <r>
          <rPr>
            <sz val="9"/>
            <color indexed="81"/>
            <rFont val="Tahoma"/>
            <family val="2"/>
          </rPr>
          <t xml:space="preserve"> from your own experimental analysis.</t>
        </r>
      </text>
    </comment>
    <comment ref="S19" authorId="0" shapeId="0" xr:uid="{E55FC003-7C19-4BF2-A037-27AF3D43A196}">
      <text>
        <r>
          <rPr>
            <sz val="9"/>
            <color indexed="81"/>
            <rFont val="Tahoma"/>
            <family val="2"/>
          </rPr>
          <t>Twigs (small branches (usually &lt;2cm)) and leaves unintentionally harvested with olive fruits. Depending on the harvesting system, it could represent from 7 to more than 15% of the wet weight of total harvest (excluding soil lumps and stones). In case you have soil lumps and stones too, discriminate them from the calculation. Example: we deliver to the olive mill  15000 kg of "harvest" (including soil lumps and stones 500 kg, leaves and twigs 800 kg, and the fresh olive fruits 13700 kg). We take the sum of leaves and twigs, and olive fruits as the total harvest (14500 kg), so that the leaves and twigs represent the 5,5 %.</t>
        </r>
      </text>
    </comment>
    <comment ref="L20" authorId="0" shapeId="0" xr:uid="{2EB38D28-E65D-4B4A-B86E-E85DE942CFC0}">
      <text>
        <r>
          <rPr>
            <sz val="9"/>
            <color indexed="81"/>
            <rFont val="Tahoma"/>
            <family val="2"/>
          </rPr>
          <t>According to Cooke, R.U. and Doornkamp, J.C. (1990). Geomorphology in environmental management, Claredon Press, Oxford, Unite Kingdom, pp. 410.</t>
        </r>
      </text>
    </comment>
    <comment ref="S20" authorId="0" shapeId="0" xr:uid="{EF3A0883-D76B-48B2-993D-0F9372EC33BE}">
      <text>
        <r>
          <rPr>
            <sz val="9"/>
            <color indexed="81"/>
            <rFont val="Tahoma"/>
            <family val="2"/>
          </rPr>
          <t xml:space="preserve">Data from your own experimental analysis or from current studies.
</t>
        </r>
      </text>
    </comment>
    <comment ref="N32" authorId="1" shapeId="0" xr:uid="{06BB7D60-2D3F-472E-A7D1-63898134A98F}">
      <text>
        <r>
          <rPr>
            <b/>
            <sz val="9"/>
            <color indexed="81"/>
            <rFont val="Tahoma"/>
            <family val="2"/>
          </rPr>
          <t>UJA:</t>
        </r>
        <r>
          <rPr>
            <sz val="9"/>
            <color indexed="81"/>
            <rFont val="Tahoma"/>
            <family val="2"/>
          </rPr>
          <t xml:space="preserve">
Rodrigues, M. A.; Ferreira, I. Q.; Freitas, S. L.; Pires, J. M.; Arrobas, M. P. (2015). Self-reseeding annual legumes for cover cropping in rainfed managed olive orchards. Spanish Journal of Agricultural Research, Volume 13, Issue 2, e0302, 13 pages. http://dx.doi.org/10.5424/sjar/2015132-6252.</t>
        </r>
      </text>
    </comment>
    <comment ref="N33" authorId="1" shapeId="0" xr:uid="{C12C3758-03CA-42D7-A6B5-D261BE1A3160}">
      <text>
        <r>
          <rPr>
            <b/>
            <sz val="9"/>
            <color indexed="81"/>
            <rFont val="Tahoma"/>
            <family val="2"/>
          </rPr>
          <t>UJA:</t>
        </r>
        <r>
          <rPr>
            <sz val="9"/>
            <color indexed="81"/>
            <rFont val="Tahoma"/>
            <family val="2"/>
          </rPr>
          <t xml:space="preserve">
Torrus Castillo et al., 2022.  https://doi.org/10.3389/fenvs.2022.868410</t>
        </r>
      </text>
    </comment>
    <comment ref="N34" authorId="0" shapeId="0" xr:uid="{45C23F13-5077-4474-A2E4-69C85960AFCE}">
      <text>
        <r>
          <rPr>
            <sz val="9"/>
            <color indexed="81"/>
            <rFont val="Tahoma"/>
            <family val="2"/>
          </rPr>
          <t xml:space="preserve">Wichern, F., Eberhardta, E., Mayerb, J., Joergensena, R.G.,  Müllerc, T. (2008), Nitrogen rhizodeposition in agricultural crops: Methods, estimates and future prospects. In Soil  Biology &amp; Biochemistry, 40, pp. 30-48.
</t>
        </r>
      </text>
    </comment>
    <comment ref="N35" authorId="0" shapeId="0" xr:uid="{3515C28A-47ED-41A7-A259-D3D6B63A7AF1}">
      <text>
        <r>
          <rPr>
            <sz val="9"/>
            <color indexed="81"/>
            <rFont val="Tahoma"/>
            <family val="2"/>
          </rPr>
          <t xml:space="preserve">Gathumbi, S.M., Cadisch, G., Giller, K.E. (2002) , N natural abundance as a tool for assessing N2-fixation of herbaceous, shrub and tree legumes in improved fallows. In </t>
        </r>
        <r>
          <rPr>
            <i/>
            <sz val="9"/>
            <color indexed="81"/>
            <rFont val="Tahoma"/>
            <family val="2"/>
          </rPr>
          <t>Soil  Biology &amp; Biochemistry</t>
        </r>
        <r>
          <rPr>
            <sz val="9"/>
            <color indexed="81"/>
            <rFont val="Tahoma"/>
            <family val="2"/>
          </rPr>
          <t xml:space="preserve">, 34, pp. 1059-1071.
</t>
        </r>
      </text>
    </comment>
    <comment ref="S35" authorId="0" shapeId="0" xr:uid="{20522E39-5D7B-44B7-B0CB-96D4BF369978}">
      <text>
        <r>
          <rPr>
            <sz val="9"/>
            <color indexed="81"/>
            <rFont val="Tahoma"/>
            <family val="2"/>
          </rPr>
          <t xml:space="preserve">According to current studies </t>
        </r>
        <r>
          <rPr>
            <b/>
            <sz val="9"/>
            <color indexed="81"/>
            <rFont val="Tahoma"/>
            <family val="2"/>
          </rPr>
          <t xml:space="preserve">OR </t>
        </r>
        <r>
          <rPr>
            <sz val="9"/>
            <color indexed="81"/>
            <rFont val="Tahoma"/>
            <family val="2"/>
          </rPr>
          <t>from your own experimental analysis.</t>
        </r>
      </text>
    </comment>
    <comment ref="N36" authorId="0" shapeId="0" xr:uid="{946BB597-3C60-40BD-AE11-B3265F9ACCD7}">
      <text>
        <r>
          <rPr>
            <sz val="9"/>
            <color indexed="81"/>
            <rFont val="Tahoma"/>
            <family val="2"/>
          </rPr>
          <t xml:space="preserve">Wichern, F., Eberhardta, E., Mayerb, J., Joergensena, R.G.,  Müllerc, T. (2008), Nitrogen rhizodeposition in agricultural crops: Methods, estimates and future prospects. In </t>
        </r>
        <r>
          <rPr>
            <i/>
            <sz val="9"/>
            <color indexed="81"/>
            <rFont val="Tahoma"/>
            <family val="2"/>
          </rPr>
          <t>Soil  Biology &amp; Biochemistry</t>
        </r>
        <r>
          <rPr>
            <sz val="9"/>
            <color indexed="81"/>
            <rFont val="Tahoma"/>
            <family val="2"/>
          </rPr>
          <t xml:space="preserve">, 40, pp. 30-48.
</t>
        </r>
      </text>
    </comment>
    <comment ref="N40" authorId="0" shapeId="0" xr:uid="{00301C70-D511-4C73-A5EF-E61EB0FFA132}">
      <text>
        <r>
          <rPr>
            <sz val="9"/>
            <color indexed="81"/>
            <rFont val="Tahoma"/>
            <family val="2"/>
          </rPr>
          <t xml:space="preserve">Boring, L.R., Swank, W.T.,  Waide, J.B., Henderson, G.S. (1988), Sources, fates and impacts of nitrogen inputs on terrestrial ecosystems: review and synthesis, </t>
        </r>
        <r>
          <rPr>
            <i/>
            <sz val="9"/>
            <color indexed="81"/>
            <rFont val="Tahoma"/>
            <family val="2"/>
          </rPr>
          <t>Biogeochemistry</t>
        </r>
        <r>
          <rPr>
            <sz val="9"/>
            <color indexed="81"/>
            <rFont val="Tahoma"/>
            <family val="2"/>
          </rPr>
          <t>, 6, pp. 119-159.</t>
        </r>
      </text>
    </comment>
    <comment ref="N41" authorId="0" shapeId="0" xr:uid="{06342AA0-EE6F-4D4F-984E-A2407CD6CB8B}">
      <text>
        <r>
          <rPr>
            <sz val="9"/>
            <color indexed="81"/>
            <rFont val="Tahoma"/>
            <family val="2"/>
          </rPr>
          <t>Indicate:</t>
        </r>
        <r>
          <rPr>
            <b/>
            <sz val="9"/>
            <color indexed="81"/>
            <rFont val="Tahoma"/>
            <family val="2"/>
          </rPr>
          <t xml:space="preserve">
</t>
        </r>
        <r>
          <rPr>
            <sz val="9"/>
            <color indexed="81"/>
            <rFont val="Tahoma"/>
            <family val="2"/>
          </rPr>
          <t>0, 1, 2, 3, 4, 5,...</t>
        </r>
      </text>
    </comment>
    <comment ref="U44" authorId="0" shapeId="0" xr:uid="{A7EC8642-89F3-40AA-9E5D-CBA2C2ACD71B}">
      <text>
        <r>
          <rPr>
            <sz val="9"/>
            <color indexed="81"/>
            <rFont val="Tahoma"/>
            <family val="2"/>
          </rPr>
          <t xml:space="preserve">Vinther, F.P, Hansen, S. (2004), SimDen - a simple empirical model for quantification of N2O emissions and denitrification. </t>
        </r>
        <r>
          <rPr>
            <i/>
            <sz val="9"/>
            <color indexed="81"/>
            <rFont val="Tahoma"/>
            <family val="2"/>
          </rPr>
          <t xml:space="preserve">DIAS Report </t>
        </r>
        <r>
          <rPr>
            <sz val="9"/>
            <color indexed="81"/>
            <rFont val="Tahoma"/>
            <family val="2"/>
          </rPr>
          <t>104, 1-47 (in Danish with English summary).</t>
        </r>
      </text>
    </comment>
    <comment ref="U47" authorId="0" shapeId="0" xr:uid="{9300AB54-C43A-4004-B6B3-80C87C6711DF}">
      <text>
        <r>
          <rPr>
            <sz val="9"/>
            <color indexed="81"/>
            <rFont val="Tahoma"/>
            <family val="2"/>
          </rPr>
          <t xml:space="preserve">Factor applied to organic fertilization N input (2,5%) from Kasimir-Klemedtsson, A.,  and Klemedtsson, L. (2002), A critical analysis of nitrous oxide emissions from animal manure. En Petersen S.O. y Olesen J.E. (eds.) </t>
        </r>
        <r>
          <rPr>
            <i/>
            <sz val="9"/>
            <color indexed="81"/>
            <rFont val="Tahoma"/>
            <family val="2"/>
          </rPr>
          <t xml:space="preserve">Greenhouse gas inventories for agriculture in the Nordic countries. DIAS report </t>
        </r>
        <r>
          <rPr>
            <sz val="9"/>
            <color indexed="81"/>
            <rFont val="Tahoma"/>
            <family val="2"/>
          </rPr>
          <t>81 Danish Institute of Agricultural Sciences, Foulum, Denmark, pp. 107-121.</t>
        </r>
      </text>
    </comment>
    <comment ref="U48" authorId="0" shapeId="0" xr:uid="{B24D3630-D69F-443F-A70E-E0072B3E296D}">
      <text>
        <r>
          <rPr>
            <sz val="9"/>
            <color indexed="81"/>
            <rFont val="Tahoma"/>
            <family val="2"/>
          </rPr>
          <t>Vinther, F.P, Hansen, S. (2004), SimDen - a simple empirical model for quantification of N2O emissions and denitrification. DIAS Report 104, 1-47 (in Danish with English summary).</t>
        </r>
      </text>
    </comment>
    <comment ref="U49" authorId="0" shapeId="0" xr:uid="{ABB5ADE2-E5BB-42EC-BAED-84372BA9C047}">
      <text>
        <r>
          <rPr>
            <sz val="9"/>
            <color indexed="81"/>
            <rFont val="Tahoma"/>
            <family val="2"/>
          </rPr>
          <t>Vinther, F.P, Hansen, S. (2004), SimDen - a simple empirical model for quantification of N2O emissions and denitrification. DIAS Report 104, 1-47 (in Danish with English summary).</t>
        </r>
      </text>
    </comment>
    <comment ref="R52" authorId="0" shapeId="0" xr:uid="{8A5F9023-A8F2-4A47-A70E-4E72ED8BF4E9}">
      <text>
        <r>
          <rPr>
            <b/>
            <sz val="9"/>
            <color indexed="81"/>
            <rFont val="Tahoma"/>
            <family val="2"/>
          </rPr>
          <t>Process controlled by ammonium amount and soil pH (also by insolation level and carbonate amount).</t>
        </r>
      </text>
    </comment>
    <comment ref="U53" authorId="0" shapeId="0" xr:uid="{A3C3DF1B-F72C-4B1D-90F8-7D14C306E0C3}">
      <text>
        <r>
          <rPr>
            <sz val="9"/>
            <color indexed="81"/>
            <rFont val="Tahoma"/>
            <family val="2"/>
          </rPr>
          <t xml:space="preserve">Adapted from Holtan-Hartwig, L., Bockman, O.C. (1994), Ammonia exchange between crops and air. </t>
        </r>
        <r>
          <rPr>
            <i/>
            <sz val="9"/>
            <color indexed="81"/>
            <rFont val="Tahoma"/>
            <family val="2"/>
          </rPr>
          <t>Norw. J. Agric. Sci</t>
        </r>
        <r>
          <rPr>
            <sz val="9"/>
            <color indexed="81"/>
            <rFont val="Tahoma"/>
            <family val="2"/>
          </rPr>
          <t>, Suppl. 14.
ONLY available for temperate climate regions.</t>
        </r>
      </text>
    </comment>
    <comment ref="U57" authorId="0" shapeId="0" xr:uid="{CD1080E7-8CE9-4B6F-B5E7-E8243183BDAB}">
      <text>
        <r>
          <rPr>
            <sz val="9"/>
            <color indexed="81"/>
            <rFont val="Tahoma"/>
            <family val="2"/>
          </rPr>
          <t xml:space="preserve">Factors applied to NH3 losses by ammonization from the N inputs depending on its origin from IPCC and European Environment Agency (2009),  </t>
        </r>
        <r>
          <rPr>
            <i/>
            <sz val="9"/>
            <color indexed="81"/>
            <rFont val="Tahoma"/>
            <family val="2"/>
          </rPr>
          <t>EEA air pollutant emissioninventory guide-book</t>
        </r>
        <r>
          <rPr>
            <sz val="9"/>
            <color indexed="81"/>
            <rFont val="Tahoma"/>
            <family val="2"/>
          </rPr>
          <t>. Technical report No 6/2009.</t>
        </r>
      </text>
    </comment>
    <comment ref="R68" authorId="1" shapeId="0" xr:uid="{6A54FA08-8864-4436-8D3F-AB31E013C641}">
      <text>
        <r>
          <rPr>
            <b/>
            <sz val="9"/>
            <color indexed="81"/>
            <rFont val="Tahoma"/>
            <family val="2"/>
          </rPr>
          <t>UJA:</t>
        </r>
        <r>
          <rPr>
            <sz val="9"/>
            <color indexed="81"/>
            <rFont val="Tahoma"/>
            <family val="2"/>
          </rPr>
          <t xml:space="preserve">
¿En qué me baso?
En olivar mediterráneo, las pérdidas medias publicadas suelen estar entre ~29–47 t ha⁻¹ año⁻¹, con muchas zonas superando 50 t ha⁻¹ año⁻¹ cuando el suelo está desnudo y en pendientes. 
ias.csic.es
+1
La presencia de cárcavas puede incrementar la pérdida ≈10–100× respecto a la erosión laminar/surcos (USLE/RUSLE no la capta bien), por eso usamos multiplicadores por severidad. 
Crea UJAen
La pendiente eleva fuertemente la erosión (factor LS de RUSLE). 
web.jrc.ec.europa.eu
+1
Nota: No existe una tabla oficial única con “pendiente × tipo de cárcava → t ha⁻¹ año⁻¹”. Por eso defino valores guía y multiplicadores coherentes con la bibliografía anterior. Puedes ajustarlos cuando calibres con datos locales.
Justificación: valores dentro de los rangos observados en olivar mediterráneo; el salto con pendiente sigue el efecto del factor LS y el contexto andaluz (muchas zonas &gt;50 t ha⁻¹ año⁻¹). 
www.revistaa
Justificación: dentro del rango 10–100× citado para procesos de cárcavas vs. laminares; usamos valores prudentes y escalonados para que tu calculadora no se dispare salvo en “acusadas”. 
Crea UJAen</t>
        </r>
      </text>
    </comment>
    <comment ref="N105" authorId="0" shapeId="0" xr:uid="{8EA39578-7F5C-4DE6-8256-CF8DEA903E6C}">
      <text>
        <r>
          <rPr>
            <sz val="9"/>
            <color indexed="81"/>
            <rFont val="Tahoma"/>
            <family val="2"/>
          </rPr>
          <t>Indicate if urea, nitrate, NPK, etc.</t>
        </r>
      </text>
    </comment>
    <comment ref="N113" authorId="0" shapeId="0" xr:uid="{AE729A71-17C1-4D15-84BF-162B6145753C}">
      <text>
        <r>
          <rPr>
            <sz val="9"/>
            <color indexed="81"/>
            <rFont val="Tahoma"/>
            <family val="2"/>
          </rPr>
          <t>Indicate if urea, nitrate, NPK, etc.</t>
        </r>
      </text>
    </comment>
    <comment ref="N121" authorId="0" shapeId="0" xr:uid="{3AA659F2-F645-4A89-B58C-9690389F9D44}">
      <text>
        <r>
          <rPr>
            <sz val="9"/>
            <color indexed="81"/>
            <rFont val="Tahoma"/>
            <family val="2"/>
          </rPr>
          <t>Indicate if urea, nitrate, NPK, etc.</t>
        </r>
      </text>
    </comment>
    <comment ref="N129" authorId="0" shapeId="0" xr:uid="{D52BE63E-77C9-499D-B94F-6C66C0FD167A}">
      <text>
        <r>
          <rPr>
            <sz val="9"/>
            <color indexed="81"/>
            <rFont val="Tahoma"/>
            <family val="2"/>
          </rPr>
          <t>Indicate if urea, nitrate, NPK, etc.</t>
        </r>
      </text>
    </comment>
    <comment ref="N137" authorId="0" shapeId="0" xr:uid="{AC12CB38-3E00-468F-A93C-D73F5F0B8705}">
      <text>
        <r>
          <rPr>
            <sz val="9"/>
            <color indexed="81"/>
            <rFont val="Tahoma"/>
            <family val="2"/>
          </rPr>
          <t>Indicate if urea, nitrate, NPK, etc.</t>
        </r>
      </text>
    </comment>
    <comment ref="N145" authorId="0" shapeId="0" xr:uid="{4DC2B62F-1DB9-49D1-868D-00C5D6E9661A}">
      <text>
        <r>
          <rPr>
            <sz val="9"/>
            <color indexed="81"/>
            <rFont val="Tahoma"/>
            <family val="2"/>
          </rPr>
          <t>Indicate if urea, nitrate, NPK, etc.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<sst xmlns="http://schemas.openxmlformats.org/spreadsheetml/2006/main" count="752" uniqueCount="370">
  <si>
    <r>
      <t>L m</t>
    </r>
    <r>
      <rPr>
        <vertAlign val="superscript"/>
        <sz val="11"/>
        <color theme="1"/>
        <rFont val="Calibri"/>
        <family val="2"/>
        <scheme val="minor"/>
      </rPr>
      <t>-2</t>
    </r>
  </si>
  <si>
    <t>%</t>
  </si>
  <si>
    <r>
      <t xml:space="preserve">kg </t>
    </r>
    <r>
      <rPr>
        <i/>
        <sz val="11"/>
        <color theme="1"/>
        <rFont val="Calibri"/>
        <family val="2"/>
        <scheme val="minor"/>
      </rPr>
      <t xml:space="preserve">N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y</t>
    </r>
    <r>
      <rPr>
        <vertAlign val="superscript"/>
        <sz val="11"/>
        <color theme="1"/>
        <rFont val="Calibri"/>
        <family val="2"/>
        <scheme val="minor"/>
      </rPr>
      <t>-1</t>
    </r>
  </si>
  <si>
    <r>
      <t xml:space="preserve">kg </t>
    </r>
    <r>
      <rPr>
        <i/>
        <sz val="11"/>
        <color theme="1"/>
        <rFont val="Calibri"/>
        <family val="2"/>
        <scheme val="minor"/>
      </rPr>
      <t>N</t>
    </r>
    <r>
      <rPr>
        <sz val="11"/>
        <color theme="1"/>
        <rFont val="Calibri"/>
        <family val="2"/>
        <scheme val="minor"/>
      </rPr>
      <t>kg</t>
    </r>
    <r>
      <rPr>
        <vertAlign val="superscript"/>
        <sz val="11"/>
        <color theme="1"/>
        <rFont val="Calibri"/>
        <family val="2"/>
        <scheme val="minor"/>
      </rPr>
      <t>-1</t>
    </r>
    <r>
      <rPr>
        <sz val="11"/>
        <color theme="1"/>
        <rFont val="Calibri"/>
        <family val="2"/>
        <scheme val="minor"/>
      </rPr>
      <t xml:space="preserve"> DM</t>
    </r>
  </si>
  <si>
    <r>
      <t>mg L</t>
    </r>
    <r>
      <rPr>
        <vertAlign val="superscript"/>
        <sz val="11"/>
        <color theme="1"/>
        <rFont val="Calibri"/>
        <family val="2"/>
        <scheme val="minor"/>
      </rPr>
      <t>-1</t>
    </r>
  </si>
  <si>
    <r>
      <t xml:space="preserve">mg </t>
    </r>
    <r>
      <rPr>
        <i/>
        <sz val="11"/>
        <color theme="1"/>
        <rFont val="Calibri"/>
        <family val="2"/>
        <scheme val="minor"/>
      </rPr>
      <t xml:space="preserve">N </t>
    </r>
    <r>
      <rPr>
        <sz val="11"/>
        <color theme="1"/>
        <rFont val="Calibri"/>
        <family val="2"/>
        <scheme val="minor"/>
      </rPr>
      <t>L</t>
    </r>
    <r>
      <rPr>
        <vertAlign val="superscript"/>
        <sz val="11"/>
        <color theme="1"/>
        <rFont val="Calibri"/>
        <family val="2"/>
        <scheme val="minor"/>
      </rPr>
      <t>-1</t>
    </r>
  </si>
  <si>
    <r>
      <t>kg ha</t>
    </r>
    <r>
      <rPr>
        <vertAlign val="superscript"/>
        <sz val="11"/>
        <color theme="1"/>
        <rFont val="Calibri"/>
        <family val="2"/>
        <scheme val="minor"/>
      </rPr>
      <t>-1</t>
    </r>
  </si>
  <si>
    <t>Subtotal</t>
  </si>
  <si>
    <t>BALANCE</t>
  </si>
  <si>
    <r>
      <t>g/cm</t>
    </r>
    <r>
      <rPr>
        <vertAlign val="superscript"/>
        <sz val="11"/>
        <color theme="1"/>
        <rFont val="Calibri"/>
        <family val="2"/>
        <scheme val="minor"/>
      </rPr>
      <t>3</t>
    </r>
  </si>
  <si>
    <t>m</t>
  </si>
  <si>
    <t>ENTRADAS</t>
  </si>
  <si>
    <t>Lluvia</t>
  </si>
  <si>
    <t>Unidades</t>
  </si>
  <si>
    <t>Datos</t>
  </si>
  <si>
    <t>Opción 1</t>
  </si>
  <si>
    <t>Cantidad de Lluvia anual</t>
  </si>
  <si>
    <t>Concentración de N en el agua de lluvia (valor fijo)</t>
  </si>
  <si>
    <t>Fijación Simbióntica de N</t>
  </si>
  <si>
    <t>Biomasa de la cubierta vegetal (materia seca) por m²</t>
  </si>
  <si>
    <t>Resultado</t>
  </si>
  <si>
    <r>
      <t xml:space="preserve">kg </t>
    </r>
    <r>
      <rPr>
        <i/>
        <sz val="11"/>
        <color theme="1"/>
        <rFont val="Calibri"/>
        <family val="2"/>
        <scheme val="minor"/>
      </rPr>
      <t xml:space="preserve">N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</si>
  <si>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Fijación no simbiótica de N</t>
  </si>
  <si>
    <t>Riego</t>
  </si>
  <si>
    <t>Fertilización Orgánica</t>
  </si>
  <si>
    <t>Fertilización Inorgánica</t>
  </si>
  <si>
    <t>Laboreo  (pases de trator)</t>
  </si>
  <si>
    <r>
      <t xml:space="preserve">kg </t>
    </r>
    <r>
      <rPr>
        <i/>
        <sz val="11"/>
        <color theme="1"/>
        <rFont val="Calibri"/>
        <family val="2"/>
        <scheme val="minor"/>
      </rPr>
      <t>N</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</si>
  <si>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veces año</t>
    </r>
    <r>
      <rPr>
        <vertAlign val="superscript"/>
        <sz val="11"/>
        <color theme="1"/>
        <rFont val="Calibri"/>
        <family val="2"/>
        <scheme val="minor"/>
      </rPr>
      <t>-1</t>
    </r>
  </si>
  <si>
    <t>Riego anual</t>
  </si>
  <si>
    <r>
      <t>m</t>
    </r>
    <r>
      <rPr>
        <vertAlign val="superscript"/>
        <sz val="11"/>
        <color theme="1"/>
        <rFont val="Calibri"/>
        <family val="2"/>
        <scheme val="minor"/>
      </rPr>
      <t>-3</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</si>
  <si>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Producto 1</t>
  </si>
  <si>
    <t>Dosis de aplicación (peso fresco listo para aplicar)</t>
  </si>
  <si>
    <t>Producto 2</t>
  </si>
  <si>
    <t>Producto 3</t>
  </si>
  <si>
    <t>Producto 4</t>
  </si>
  <si>
    <t>Producto 5</t>
  </si>
  <si>
    <t>Producto 6</t>
  </si>
  <si>
    <t>Tipo</t>
  </si>
  <si>
    <t>Biochar</t>
  </si>
  <si>
    <t>Biofuerza 212</t>
  </si>
  <si>
    <t>Dosis de aplicación</t>
  </si>
  <si>
    <t>Concentracion de N</t>
  </si>
  <si>
    <t>Resultados</t>
  </si>
  <si>
    <t>SALIDAS</t>
  </si>
  <si>
    <t>Cosecha</t>
  </si>
  <si>
    <t>Poda</t>
  </si>
  <si>
    <t>Desnitrificación</t>
  </si>
  <si>
    <t>Lixiviación</t>
  </si>
  <si>
    <t>Erosión</t>
  </si>
  <si>
    <r>
      <rPr>
        <b/>
        <sz val="14"/>
        <color theme="5" tint="-0.499984740745262"/>
        <rFont val="Calibri"/>
        <family val="2"/>
        <scheme val="minor"/>
      </rPr>
      <t>Volatilización de NH</t>
    </r>
    <r>
      <rPr>
        <b/>
        <vertAlign val="subscript"/>
        <sz val="14"/>
        <color theme="5" tint="-0.499984740745262"/>
        <rFont val="Calibri"/>
        <family val="2"/>
        <scheme val="minor"/>
      </rPr>
      <t>4</t>
    </r>
  </si>
  <si>
    <r>
      <t>kg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</si>
  <si>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 xml:space="preserve">kg </t>
    </r>
    <r>
      <rPr>
        <i/>
        <sz val="11"/>
        <color theme="1"/>
        <rFont val="Calibri"/>
        <family val="2"/>
        <scheme val="minor"/>
      </rPr>
      <t xml:space="preserve">N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r>
      <rPr>
        <sz val="11"/>
        <color theme="1"/>
        <rFont val="Calibri"/>
        <family val="2"/>
        <scheme val="minor"/>
      </rPr>
      <t/>
    </r>
  </si>
  <si>
    <r>
      <t xml:space="preserve">kg </t>
    </r>
    <r>
      <rPr>
        <i/>
        <sz val="11"/>
        <color theme="1"/>
        <rFont val="Calibri"/>
        <family val="2"/>
        <scheme val="minor"/>
      </rPr>
      <t>N</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r>
      <rPr>
        <sz val="11"/>
        <color theme="1"/>
        <rFont val="Calibri"/>
        <family val="2"/>
        <scheme val="minor"/>
      </rPr>
      <t/>
    </r>
  </si>
  <si>
    <t>Cosecha de fruto de olivo (peso fresco)</t>
  </si>
  <si>
    <t>Cosecha de ramas y hojas (peso fresco proporcional a la cosecha total [frutos + ramas + hojas])</t>
  </si>
  <si>
    <t>Meteorización del suelo</t>
  </si>
  <si>
    <r>
      <t xml:space="preserve">kg </t>
    </r>
    <r>
      <rPr>
        <i/>
        <sz val="11"/>
        <color theme="1"/>
        <rFont val="Calibri"/>
        <family val="2"/>
        <scheme val="minor"/>
      </rPr>
      <t>P</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y</t>
    </r>
    <r>
      <rPr>
        <vertAlign val="superscript"/>
        <sz val="11"/>
        <color theme="1"/>
        <rFont val="Calibri"/>
        <family val="2"/>
        <scheme val="minor"/>
      </rPr>
      <t>-1</t>
    </r>
  </si>
  <si>
    <r>
      <t xml:space="preserve">kg </t>
    </r>
    <r>
      <rPr>
        <i/>
        <sz val="11"/>
        <color theme="1"/>
        <rFont val="Calibri"/>
        <family val="2"/>
        <scheme val="minor"/>
      </rPr>
      <t>K</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y</t>
    </r>
    <r>
      <rPr>
        <vertAlign val="superscript"/>
        <sz val="11"/>
        <color theme="1"/>
        <rFont val="Calibri"/>
        <family val="2"/>
        <scheme val="minor"/>
      </rPr>
      <t>-1</t>
    </r>
  </si>
  <si>
    <t>Calculadora de balance de Nutrientes en el olivar</t>
  </si>
  <si>
    <t>Concentración de P en el agua de lluvia (valor fijo)</t>
  </si>
  <si>
    <t>Concentración de K en el agua de lluvia (valor fijo)</t>
  </si>
  <si>
    <r>
      <t>mg L</t>
    </r>
    <r>
      <rPr>
        <vertAlign val="superscript"/>
        <sz val="11"/>
        <color theme="1"/>
        <rFont val="Calibri"/>
        <family val="2"/>
        <scheme val="minor"/>
      </rPr>
      <t>-2</t>
    </r>
    <r>
      <rPr>
        <sz val="11"/>
        <color theme="1"/>
        <rFont val="Calibri"/>
        <family val="2"/>
        <scheme val="minor"/>
      </rPr>
      <t/>
    </r>
  </si>
  <si>
    <r>
      <t>mg L</t>
    </r>
    <r>
      <rPr>
        <vertAlign val="superscript"/>
        <sz val="11"/>
        <color theme="1"/>
        <rFont val="Calibri"/>
        <family val="2"/>
        <scheme val="minor"/>
      </rPr>
      <t>-3</t>
    </r>
    <r>
      <rPr>
        <sz val="11"/>
        <color theme="1"/>
        <rFont val="Calibri"/>
        <family val="2"/>
        <scheme val="minor"/>
      </rPr>
      <t/>
    </r>
  </si>
  <si>
    <r>
      <t xml:space="preserve">kg </t>
    </r>
    <r>
      <rPr>
        <i/>
        <sz val="11"/>
        <color theme="1"/>
        <rFont val="Calibri"/>
        <family val="2"/>
        <scheme val="minor"/>
      </rPr>
      <t xml:space="preserve">P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-2</t>
    </r>
  </si>
  <si>
    <r>
      <t xml:space="preserve">kg </t>
    </r>
    <r>
      <rPr>
        <i/>
        <sz val="11"/>
        <color theme="1"/>
        <rFont val="Calibri"/>
        <family val="2"/>
        <scheme val="minor"/>
      </rPr>
      <t xml:space="preserve">K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-3</t>
    </r>
  </si>
  <si>
    <t>P total del suelo (valor fijo)</t>
  </si>
  <si>
    <t>K total del suelo (valor fijo)</t>
  </si>
  <si>
    <t>Cantidad de suelo nuevo generado cada año (valor fijo)</t>
  </si>
  <si>
    <t>Fijación máxima de N por microorganismos libres (valor fijo)</t>
  </si>
  <si>
    <t>Contenido de N en las raíces de las leguminosas en proporción al total de la planta (valor fijo)</t>
  </si>
  <si>
    <t>Contenido de N de las leguminosas debido a la fijación simbiótica en proporción al contenido total de N de las leguminosas (valor fijo)</t>
  </si>
  <si>
    <t>N rizodepositado por las raíces de las plantas respecto al total de la fijación biológica de nitrógeno (valor fijo)</t>
  </si>
  <si>
    <t>Concentración de N en el agua de riego (valor fijo)</t>
  </si>
  <si>
    <t>Concentración de P en el agua de riego (valor fijo)</t>
  </si>
  <si>
    <t>Concentración de K en el agua de riego (valor fijo)</t>
  </si>
  <si>
    <r>
      <t xml:space="preserve">mg </t>
    </r>
    <r>
      <rPr>
        <i/>
        <sz val="11"/>
        <color theme="1"/>
        <rFont val="Calibri"/>
        <family val="2"/>
        <scheme val="minor"/>
      </rPr>
      <t xml:space="preserve">K </t>
    </r>
    <r>
      <rPr>
        <sz val="11"/>
        <color theme="1"/>
        <rFont val="Calibri"/>
        <family val="2"/>
        <scheme val="minor"/>
      </rPr>
      <t>L</t>
    </r>
    <r>
      <rPr>
        <vertAlign val="superscript"/>
        <sz val="11"/>
        <color theme="1"/>
        <rFont val="Calibri"/>
        <family val="2"/>
        <scheme val="minor"/>
      </rPr>
      <t>-3</t>
    </r>
  </si>
  <si>
    <r>
      <t xml:space="preserve">mg </t>
    </r>
    <r>
      <rPr>
        <i/>
        <sz val="11"/>
        <color theme="1"/>
        <rFont val="Calibri"/>
        <family val="2"/>
        <scheme val="minor"/>
      </rPr>
      <t xml:space="preserve">P </t>
    </r>
    <r>
      <rPr>
        <sz val="11"/>
        <color theme="1"/>
        <rFont val="Calibri"/>
        <family val="2"/>
        <scheme val="minor"/>
      </rPr>
      <t>L</t>
    </r>
    <r>
      <rPr>
        <vertAlign val="superscript"/>
        <sz val="11"/>
        <color theme="1"/>
        <rFont val="Calibri"/>
        <family val="2"/>
        <scheme val="minor"/>
      </rPr>
      <t>-2</t>
    </r>
  </si>
  <si>
    <t>Concentracion de P</t>
  </si>
  <si>
    <t>Concentracion de K</t>
  </si>
  <si>
    <r>
      <t>kg</t>
    </r>
    <r>
      <rPr>
        <i/>
        <sz val="11"/>
        <color theme="1"/>
        <rFont val="Calibri"/>
        <family val="2"/>
        <scheme val="minor"/>
      </rPr>
      <t xml:space="preserve"> P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</si>
  <si>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kg</t>
    </r>
    <r>
      <rPr>
        <i/>
        <sz val="11"/>
        <color theme="1"/>
        <rFont val="Calibri"/>
        <family val="2"/>
        <scheme val="minor"/>
      </rPr>
      <t xml:space="preserve"> K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</si>
  <si>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 xml:space="preserve">kg </t>
    </r>
    <r>
      <rPr>
        <i/>
        <sz val="11"/>
        <color theme="1"/>
        <rFont val="Calibri"/>
        <family val="2"/>
        <scheme val="minor"/>
      </rPr>
      <t xml:space="preserve">P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</si>
  <si>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 xml:space="preserve">kg </t>
    </r>
    <r>
      <rPr>
        <i/>
        <sz val="11"/>
        <color theme="1"/>
        <rFont val="Calibri"/>
        <family val="2"/>
        <scheme val="minor"/>
      </rPr>
      <t xml:space="preserve">K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</si>
  <si>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Aporte de N por fertilización orgánica</t>
  </si>
  <si>
    <t>Aporte de N por fertilización inorgánica</t>
  </si>
  <si>
    <t>Pérdidas de N debidas a la fertilización por desnitrificación en forma de N₂O</t>
  </si>
  <si>
    <t>Pérdidas basales de N por desnitrificación en forma de N₂</t>
  </si>
  <si>
    <t>Pérdidas de N debidas a la fertilización por desnitrificación en forma de N₂</t>
  </si>
  <si>
    <t>Pérdidas basales de N por desnitrificación en forma de N₂O (valor fijo)</t>
  </si>
  <si>
    <t>Aporte de N por cobertura verde</t>
  </si>
  <si>
    <t>Pérdidas basales de N por volatilización (valor fijo)</t>
  </si>
  <si>
    <t>Aporte de N por estiércol</t>
  </si>
  <si>
    <t>N total del suelo</t>
  </si>
  <si>
    <t>Densidad aparente del suelo (valor fijo)</t>
  </si>
  <si>
    <t>N disponible por mineralización y nitrificación</t>
  </si>
  <si>
    <t>Urea</t>
  </si>
  <si>
    <t>Fertilizantes Inorgánica</t>
  </si>
  <si>
    <t>N</t>
  </si>
  <si>
    <t>K</t>
  </si>
  <si>
    <t>Humedad</t>
  </si>
  <si>
    <t>Fertilizante orgánico</t>
  </si>
  <si>
    <t>Concentración de N en el producto (valor fijo)</t>
  </si>
  <si>
    <t>Concentración de P en el producto (valor fijo</t>
  </si>
  <si>
    <t>Concentración de K en el producto (valor fijo</t>
  </si>
  <si>
    <t>Concentración de N en el producto (valor fijo</t>
  </si>
  <si>
    <t>Contenido de Humedad (valor fijo)</t>
  </si>
  <si>
    <t>Concentración de K en el producto (valor fijo)</t>
  </si>
  <si>
    <t>Concentración de P en el producto (valor fijo)</t>
  </si>
  <si>
    <r>
      <t>kg DM m</t>
    </r>
    <r>
      <rPr>
        <vertAlign val="superscript"/>
        <sz val="11"/>
        <color theme="1"/>
        <rFont val="Calibri"/>
        <family val="2"/>
        <scheme val="minor"/>
      </rPr>
      <t>-2</t>
    </r>
    <r>
      <rPr>
        <sz val="11"/>
        <color theme="1"/>
        <rFont val="Calibri"/>
        <family val="2"/>
        <scheme val="minor"/>
      </rPr>
      <t xml:space="preserve"> año</t>
    </r>
    <r>
      <rPr>
        <vertAlign val="superscript"/>
        <sz val="11"/>
        <color theme="1"/>
        <rFont val="Calibri"/>
        <family val="2"/>
        <scheme val="minor"/>
      </rPr>
      <t>-1</t>
    </r>
  </si>
  <si>
    <t>Proporción de leguminosas en la biomasa de la cubierta vegetal (materia seca) (valor fijo)</t>
  </si>
  <si>
    <t>Contenido de N en la parte aérea de las leguminosas (valor fijo)</t>
  </si>
  <si>
    <r>
      <t xml:space="preserve">kg </t>
    </r>
    <r>
      <rPr>
        <i/>
        <sz val="11"/>
        <color theme="1"/>
        <rFont val="Calibri"/>
        <family val="2"/>
        <scheme val="minor"/>
      </rPr>
      <t xml:space="preserve">N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r>
      <rPr>
        <sz val="11"/>
        <color theme="1"/>
        <rFont val="Calibri"/>
        <family val="2"/>
        <scheme val="minor"/>
      </rPr>
      <t/>
    </r>
  </si>
  <si>
    <r>
      <t xml:space="preserve">kg </t>
    </r>
    <r>
      <rPr>
        <i/>
        <sz val="11"/>
        <color theme="1"/>
        <rFont val="Calibri"/>
        <family val="2"/>
        <scheme val="minor"/>
      </rPr>
      <t xml:space="preserve">P </t>
    </r>
    <r>
      <rPr>
        <sz val="11"/>
        <color theme="1"/>
        <rFont val="Calibri"/>
        <family val="2"/>
        <scheme val="minor"/>
      </rPr>
      <t>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-0</t>
    </r>
  </si>
  <si>
    <t>Contenido de Humedad fruto</t>
  </si>
  <si>
    <t>Contenido de Humedad ramas y hojas</t>
  </si>
  <si>
    <t>Resultado de la extracción de la cosecha de olivo (PS)</t>
  </si>
  <si>
    <t xml:space="preserve">Contenido de N en ramas y hojas </t>
  </si>
  <si>
    <t xml:space="preserve">Contenido de P en ramas y hojas </t>
  </si>
  <si>
    <t xml:space="preserve">Contenido de K en ramas y hojas </t>
  </si>
  <si>
    <t xml:space="preserve">Contenido de K en los frutos de olivo </t>
  </si>
  <si>
    <t xml:space="preserve">Contenido de P en los frutos de olivo </t>
  </si>
  <si>
    <t xml:space="preserve">Contenido de N en los frutos de olivo </t>
  </si>
  <si>
    <t>P total del suelo</t>
  </si>
  <si>
    <t>K total del suelo</t>
  </si>
  <si>
    <t>Profundidad considerada para calcular el N total del suelo (valor fijo)</t>
  </si>
  <si>
    <t>Entradas N - Salidas N</t>
  </si>
  <si>
    <t>MO %</t>
  </si>
  <si>
    <t>Materia orgánica del suelo</t>
  </si>
  <si>
    <t>1.81 - 2.40</t>
  </si>
  <si>
    <t>1.20 - 1.80</t>
  </si>
  <si>
    <t>Promedio (%)</t>
  </si>
  <si>
    <t xml:space="preserve">N total suelo </t>
  </si>
  <si>
    <t xml:space="preserve">ENTRADAS TOTALES </t>
  </si>
  <si>
    <t xml:space="preserve">SALIDAS TOTALES </t>
  </si>
  <si>
    <t>Entradas de N natural</t>
  </si>
  <si>
    <t>Entradas de N Antropogénico</t>
  </si>
  <si>
    <t>Entradas totales de N</t>
  </si>
  <si>
    <t>Entradas totales de P</t>
  </si>
  <si>
    <t>Entradas totales de K</t>
  </si>
  <si>
    <r>
      <t>kg N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</si>
  <si>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kg P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</si>
  <si>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r>
      <t>kg K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</si>
  <si>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Salidas de N inducidas por el manejo agrícola</t>
  </si>
  <si>
    <t>Salidas de P inducidas por el manejo agrícola</t>
  </si>
  <si>
    <t>Salidas de K inducidas por el manejo agrícola</t>
  </si>
  <si>
    <t>Entradas totales N - Salidas totales N</t>
  </si>
  <si>
    <t>Entradas totales P - Salidas totales P</t>
  </si>
  <si>
    <t>Entradas totales K - Salidas totales K</t>
  </si>
  <si>
    <t>Entradas de P natural</t>
  </si>
  <si>
    <t>Entradas de P Antropogénico</t>
  </si>
  <si>
    <t>Entradas de K natural</t>
  </si>
  <si>
    <t>Entradas de K Antropogénico</t>
  </si>
  <si>
    <t>Rango de pendiente</t>
  </si>
  <si>
    <t>Pérdida base (t ha⁻¹ año⁻¹)</t>
  </si>
  <si>
    <t>0–2 %</t>
  </si>
  <si>
    <t>2–10 %</t>
  </si>
  <si>
    <t>10–20 %</t>
  </si>
  <si>
    <t>&gt;20 %</t>
  </si>
  <si>
    <t>Cárcavas</t>
  </si>
  <si>
    <t>Multiplicador</t>
  </si>
  <si>
    <t>×1,0</t>
  </si>
  <si>
    <t>×2</t>
  </si>
  <si>
    <t>×5</t>
  </si>
  <si>
    <t>×10</t>
  </si>
  <si>
    <t>P</t>
  </si>
  <si>
    <t xml:space="preserve">Pendiente </t>
  </si>
  <si>
    <r>
      <t>tn ha</t>
    </r>
    <r>
      <rPr>
        <vertAlign val="superscript"/>
        <sz val="11"/>
        <color theme="1"/>
        <rFont val="Calibri"/>
        <family val="2"/>
        <scheme val="minor"/>
      </rPr>
      <t>-1</t>
    </r>
    <r>
      <rPr>
        <sz val="11"/>
        <color theme="1"/>
        <rFont val="Calibri"/>
        <family val="2"/>
        <scheme val="minor"/>
      </rPr>
      <t xml:space="preserve"> año</t>
    </r>
    <r>
      <rPr>
        <vertAlign val="superscript"/>
        <sz val="11"/>
        <color theme="1"/>
        <rFont val="Calibri"/>
        <family val="2"/>
        <scheme val="minor"/>
      </rPr>
      <t>-1</t>
    </r>
  </si>
  <si>
    <t>Pérdida de suelo total por erosión</t>
  </si>
  <si>
    <t xml:space="preserve">   </t>
  </si>
  <si>
    <t>RECOMENDACIÓN</t>
  </si>
  <si>
    <t>DEMANDA POR EL ÁRBOL</t>
  </si>
  <si>
    <t>Número de árboles por hectarea</t>
  </si>
  <si>
    <r>
      <t>árbol ha</t>
    </r>
    <r>
      <rPr>
        <vertAlign val="superscript"/>
        <sz val="11"/>
        <color theme="1"/>
        <rFont val="Calibri"/>
        <family val="2"/>
        <scheme val="minor"/>
      </rPr>
      <t>-1</t>
    </r>
  </si>
  <si>
    <t xml:space="preserve">Edad </t>
  </si>
  <si>
    <t>Superficie de copa</t>
  </si>
  <si>
    <t>Demanda del árbol N</t>
  </si>
  <si>
    <t>Demanda del árbol P</t>
  </si>
  <si>
    <t>Demanda del árbol K</t>
  </si>
  <si>
    <t>años</t>
  </si>
  <si>
    <t>Nitrógeno (N)</t>
  </si>
  <si>
    <t>Fósforo (P)</t>
  </si>
  <si>
    <t>Potasio (K)</t>
  </si>
  <si>
    <t>80–150 kg N/ha en regadío, ajustando a tu demanda del árbol</t>
  </si>
  <si>
    <r>
      <rPr>
        <b/>
        <sz val="11"/>
        <color theme="1"/>
        <rFont val="Calibri"/>
        <family val="2"/>
        <scheme val="minor"/>
      </rPr>
      <t>Exceso alto (&gt; +20 kg/ha):</t>
    </r>
    <r>
      <rPr>
        <sz val="11"/>
        <color theme="1"/>
        <rFont val="Calibri"/>
        <family val="2"/>
        <scheme val="minor"/>
      </rPr>
      <t xml:space="preserve"> Exceso de de N. Reduce la dosis el año que viene (en torno a un 20–40%). No pasar de 150 kg N/ha</t>
    </r>
  </si>
  <si>
    <r>
      <t>Correcto (−10 a +10)</t>
    </r>
    <r>
      <rPr>
        <sz val="11"/>
        <color theme="1"/>
        <rFont val="Calibri"/>
        <family val="2"/>
        <scheme val="minor"/>
      </rPr>
      <t>: Bien. Mantén la pauta actual.</t>
    </r>
  </si>
  <si>
    <r>
      <t xml:space="preserve">Déficit alto (&lt; −20): </t>
    </r>
    <r>
      <rPr>
        <sz val="11"/>
        <color theme="1"/>
        <rFont val="Calibri"/>
        <family val="2"/>
        <scheme val="minor"/>
      </rPr>
      <t xml:space="preserve">Aumenta la dosis de N, pero sin pasarte: como guía, 50–100 kg N/ha en secano y </t>
    </r>
  </si>
  <si>
    <r>
      <t xml:space="preserve">Exceso (&gt; +5 kg/ha): </t>
    </r>
    <r>
      <rPr>
        <sz val="11"/>
        <color theme="1"/>
        <rFont val="Calibri"/>
        <family val="2"/>
        <scheme val="minor"/>
      </rPr>
      <t>No apliques P este año (o sólo un mantenimiento mínimo).</t>
    </r>
  </si>
  <si>
    <r>
      <t xml:space="preserve">Correcto (−5 a +5): </t>
    </r>
    <r>
      <rPr>
        <sz val="11"/>
        <color theme="1"/>
        <rFont val="Calibri"/>
        <family val="2"/>
        <scheme val="minor"/>
      </rPr>
      <t>Bien. Normalmente no hace falta aportar más P.</t>
    </r>
  </si>
  <si>
    <r>
      <t xml:space="preserve">Déficit (&lt; −5): </t>
    </r>
    <r>
      <rPr>
        <sz val="11"/>
        <color theme="1"/>
        <rFont val="Calibri"/>
        <family val="2"/>
        <scheme val="minor"/>
      </rPr>
      <t>Aplica P para reponer. Como guía: 10–20 kg P/ha (≈ 23–46 kg P₂O₅/ha)</t>
    </r>
  </si>
  <si>
    <t>Regla por cosecha: ≈ 1 kg P por cada tonelada de aceituna.</t>
  </si>
  <si>
    <r>
      <t>Regla sencilla por cosecha</t>
    </r>
    <r>
      <rPr>
        <sz val="11"/>
        <color theme="1"/>
        <rFont val="Calibri"/>
        <family val="2"/>
        <scheme val="minor"/>
      </rPr>
      <t xml:space="preserve"> (para ayudarte a ajustar): </t>
    </r>
    <r>
      <rPr>
        <b/>
        <sz val="11"/>
        <color theme="1"/>
        <rFont val="Calibri"/>
        <family val="2"/>
        <scheme val="minor"/>
      </rPr>
      <t>≈ 5 kg N por cada tonelada de aceituna producida.</t>
    </r>
  </si>
  <si>
    <r>
      <t xml:space="preserve">Exceso (&gt; +20 kg/ha): </t>
    </r>
    <r>
      <rPr>
        <sz val="11"/>
        <color theme="1"/>
        <rFont val="Calibri"/>
        <family val="2"/>
        <scheme val="minor"/>
      </rPr>
      <t>Reduce algo el K (−10–30%), sobre todo si vienes de una cosecha baja.</t>
    </r>
  </si>
  <si>
    <t>Regla por cosecha: ≈ 10 kg K por cada tonelada de aceituna.</t>
  </si>
  <si>
    <r>
      <t xml:space="preserve">Correcto (−20 a +20): </t>
    </r>
    <r>
      <rPr>
        <sz val="11"/>
        <color theme="1"/>
        <rFont val="Calibri"/>
        <family val="2"/>
        <scheme val="minor"/>
      </rPr>
      <t>Bien. Mantén la pauta</t>
    </r>
  </si>
  <si>
    <r>
      <t xml:space="preserve">Exceso ligero (+10 a +20): </t>
    </r>
    <r>
      <rPr>
        <sz val="11"/>
        <color theme="1"/>
        <rFont val="Calibri"/>
        <family val="2"/>
        <scheme val="minor"/>
      </rPr>
      <t>Ajusta algo a la baja (−10–20%).</t>
    </r>
  </si>
  <si>
    <r>
      <t>Déficit (&lt; −20):</t>
    </r>
    <r>
      <rPr>
        <sz val="11"/>
        <color theme="1"/>
        <rFont val="Calibri"/>
        <family val="2"/>
        <scheme val="minor"/>
      </rPr>
      <t xml:space="preserve"> Aplica K para reponer. Guía de mantenimiento en producción: 50–100 kg K/ha </t>
    </r>
  </si>
  <si>
    <t>(≈ 60–120 kg K₂O/ha) y ajusta a tu demanda.</t>
  </si>
  <si>
    <r>
      <rPr>
        <b/>
        <sz val="11"/>
        <color theme="1"/>
        <rFont val="Calibri"/>
        <family val="2"/>
        <scheme val="minor"/>
      </rPr>
      <t xml:space="preserve">Déficit ligero (−10 a −20): </t>
    </r>
    <r>
      <rPr>
        <sz val="11"/>
        <color theme="1"/>
        <rFont val="Calibri"/>
        <family val="2"/>
        <scheme val="minor"/>
      </rPr>
      <t>Aumenta algo el N para cubrir ese faltante (aporta el déficit y añade un 10% de margen).</t>
    </r>
  </si>
  <si>
    <r>
      <t>m</t>
    </r>
    <r>
      <rPr>
        <vertAlign val="superscript"/>
        <sz val="11"/>
        <color theme="1"/>
        <rFont val="Calibri"/>
        <family val="2"/>
        <scheme val="minor"/>
      </rPr>
      <t>2</t>
    </r>
    <r>
      <rPr>
        <sz val="11"/>
        <color theme="1"/>
        <rFont val="Calibri"/>
        <family val="2"/>
        <scheme val="minor"/>
      </rPr>
      <t xml:space="preserve"> ha</t>
    </r>
    <r>
      <rPr>
        <vertAlign val="superscript"/>
        <sz val="11"/>
        <color theme="1"/>
        <rFont val="Calibri"/>
        <family val="2"/>
        <scheme val="minor"/>
      </rPr>
      <t>-1</t>
    </r>
  </si>
  <si>
    <r>
      <t>m</t>
    </r>
    <r>
      <rPr>
        <vertAlign val="superscript"/>
        <sz val="11"/>
        <color theme="1"/>
        <rFont val="Calibri"/>
        <family val="2"/>
        <scheme val="minor"/>
      </rPr>
      <t>2</t>
    </r>
  </si>
  <si>
    <t xml:space="preserve">Superficie finca </t>
  </si>
  <si>
    <t>¿Dejan cubierta vegetal?</t>
  </si>
  <si>
    <t>No</t>
  </si>
  <si>
    <t>¿Dejan Cubiertas?</t>
  </si>
  <si>
    <t>Si dice Si, ¿Qué tipo de cubierta?</t>
  </si>
  <si>
    <t>¿Qué tipo de cubierta?</t>
  </si>
  <si>
    <t>¿La altura de la cubierta vegetal crece en promedio?</t>
  </si>
  <si>
    <t>gr de biomasa seca (incluye aérea y radicular) por m2 cubierto.</t>
  </si>
  <si>
    <t>2.2% Nitrogeno</t>
  </si>
  <si>
    <t xml:space="preserve">Superficie cubierta </t>
  </si>
  <si>
    <t>Bandas metros promedio</t>
  </si>
  <si>
    <t xml:space="preserve">P </t>
  </si>
  <si>
    <t>¿Qué hace con la poda?</t>
  </si>
  <si>
    <r>
      <t>kg ha</t>
    </r>
    <r>
      <rPr>
        <vertAlign val="superscript"/>
        <sz val="11"/>
        <color theme="1"/>
        <rFont val="Calibri"/>
        <family val="2"/>
        <scheme val="minor"/>
      </rPr>
      <t>-1</t>
    </r>
    <r>
      <rPr>
        <sz val="11"/>
        <color theme="1"/>
        <rFont val="Calibri"/>
        <family val="2"/>
        <scheme val="minor"/>
      </rPr>
      <t>año</t>
    </r>
    <r>
      <rPr>
        <vertAlign val="superscript"/>
        <sz val="11"/>
        <color theme="1"/>
        <rFont val="Calibri"/>
        <family val="2"/>
        <scheme val="minor"/>
      </rPr>
      <t>-1</t>
    </r>
  </si>
  <si>
    <r>
      <t>Kg  año</t>
    </r>
    <r>
      <rPr>
        <vertAlign val="superscript"/>
        <sz val="11"/>
        <color theme="1"/>
        <rFont val="Calibri"/>
        <family val="2"/>
        <scheme val="minor"/>
      </rPr>
      <t>-1</t>
    </r>
  </si>
  <si>
    <t>¿Cómo diría que es su suelo?</t>
  </si>
  <si>
    <t>¿Cómo diria que es su suelo?</t>
  </si>
  <si>
    <t>% arcilla</t>
  </si>
  <si>
    <t>&gt;3</t>
  </si>
  <si>
    <t>Salidas de N por la cosecha/poda</t>
  </si>
  <si>
    <t>Salidas de P por la cosecha/poda</t>
  </si>
  <si>
    <t>Salidas de K por la cosecha/poda</t>
  </si>
  <si>
    <r>
      <t>kg ha</t>
    </r>
    <r>
      <rPr>
        <b/>
        <vertAlign val="superscript"/>
        <sz val="11"/>
        <color theme="1"/>
        <rFont val="Calibri"/>
        <family val="2"/>
        <scheme val="minor"/>
      </rPr>
      <t>-1</t>
    </r>
    <r>
      <rPr>
        <b/>
        <sz val="11"/>
        <color theme="1"/>
        <rFont val="Calibri"/>
        <family val="2"/>
        <scheme val="minor"/>
      </rPr>
      <t>año</t>
    </r>
    <r>
      <rPr>
        <b/>
        <vertAlign val="superscript"/>
        <sz val="11"/>
        <color theme="1"/>
        <rFont val="Calibri"/>
        <family val="2"/>
        <scheme val="minor"/>
      </rPr>
      <t>-1</t>
    </r>
  </si>
  <si>
    <t>Poda ligera generada en toda la finca</t>
  </si>
  <si>
    <t>Poda ligera generada en una hectárea</t>
  </si>
  <si>
    <t>Edad</t>
  </si>
  <si>
    <t>Diámetro copa (m)</t>
  </si>
  <si>
    <t>Radio (m)</t>
  </si>
  <si>
    <t>Superficie de copa (m²)</t>
  </si>
  <si>
    <t>Fuente</t>
  </si>
  <si>
    <t>1.5 m</t>
  </si>
  <si>
    <t>1.8 m²</t>
  </si>
  <si>
    <t>IFAPA (jóvenes en formación)</t>
  </si>
  <si>
    <t>3.0 m</t>
  </si>
  <si>
    <t>7.1 m²</t>
  </si>
  <si>
    <t>IFAPA / MAPA</t>
  </si>
  <si>
    <t>4.5 m</t>
  </si>
  <si>
    <t>15.9 m²</t>
  </si>
  <si>
    <t>UC Davis / Tous et al.</t>
  </si>
  <si>
    <t>6.0 m</t>
  </si>
  <si>
    <t>IFAPA, MAPA</t>
  </si>
  <si>
    <t>7.0 m</t>
  </si>
  <si>
    <t>Pastor et al.</t>
  </si>
  <si>
    <t>7.5–8.0 m</t>
  </si>
  <si>
    <t>3.75–4</t>
  </si>
  <si>
    <t>Olivar tradicional (&gt;80 años)</t>
  </si>
  <si>
    <t>Para demanda por el árbol</t>
  </si>
  <si>
    <t>RESULTADOS DEL BALANCE</t>
  </si>
  <si>
    <t>35 m²</t>
  </si>
  <si>
    <t>25.8 m²</t>
  </si>
  <si>
    <t>20.3 m²</t>
  </si>
  <si>
    <t>Peso seco</t>
  </si>
  <si>
    <t>kg/ha</t>
  </si>
  <si>
    <r>
      <t>L/m</t>
    </r>
    <r>
      <rPr>
        <vertAlign val="superscript"/>
        <sz val="11"/>
        <color theme="1"/>
        <rFont val="Calibri"/>
        <family val="2"/>
        <scheme val="minor"/>
      </rPr>
      <t>2</t>
    </r>
  </si>
  <si>
    <t xml:space="preserve">kg/ha </t>
  </si>
  <si>
    <r>
      <t>m</t>
    </r>
    <r>
      <rPr>
        <vertAlign val="superscript"/>
        <sz val="11"/>
        <color theme="1"/>
        <rFont val="Calibri"/>
        <family val="2"/>
        <scheme val="minor"/>
      </rPr>
      <t>3</t>
    </r>
    <r>
      <rPr>
        <sz val="11"/>
        <color theme="1"/>
        <rFont val="Calibri"/>
        <family val="2"/>
        <scheme val="minor"/>
      </rPr>
      <t xml:space="preserve">/ha </t>
    </r>
  </si>
  <si>
    <t>Contenido de N en la poda ligera que se queda en la finca</t>
  </si>
  <si>
    <t>Contenido de P en la poda  ligera que se queda en la finca</t>
  </si>
  <si>
    <t>Contenido de K en la poda  ligera que se queda en la finca</t>
  </si>
  <si>
    <t>Porcentaje de entradas Naturales de N con respecto al total</t>
  </si>
  <si>
    <t>Porcentaje de entradas Naturales de P con respecto al total</t>
  </si>
  <si>
    <t>Porcentaje de entradas Naturales de K con respecto al total</t>
  </si>
  <si>
    <t>Salidas totales de N</t>
  </si>
  <si>
    <t>Salidas totales de P</t>
  </si>
  <si>
    <t>Salidas totales de K</t>
  </si>
  <si>
    <t>Choose one from the list</t>
  </si>
  <si>
    <t>Yes</t>
  </si>
  <si>
    <t>Cow manure</t>
  </si>
  <si>
    <t>Sheep manure</t>
  </si>
  <si>
    <t>Goat manure</t>
  </si>
  <si>
    <t>Chicken manure</t>
  </si>
  <si>
    <t>Horse manure</t>
  </si>
  <si>
    <t>Labinor organic fertilizer</t>
  </si>
  <si>
    <t>Leaf residue</t>
  </si>
  <si>
    <t>The entire farm</t>
  </si>
  <si>
    <t>Bands from 0–2 meters</t>
  </si>
  <si>
    <t>Bands from 2–3 meters</t>
  </si>
  <si>
    <t>Bands &gt;3 meters</t>
  </si>
  <si>
    <t>Cover &lt; 20 cm in height</t>
  </si>
  <si>
    <t>Cover between 20–50 cm in height</t>
  </si>
  <si>
    <t>Cover &gt; 50 cm in height</t>
  </si>
  <si>
    <t>None</t>
  </si>
  <si>
    <t>Slight</t>
  </si>
  <si>
    <t>Moderate</t>
  </si>
  <si>
    <t>Severe</t>
  </si>
  <si>
    <t>Shred it and leave it</t>
  </si>
  <si>
    <t>Burn it</t>
  </si>
  <si>
    <t>&gt;50 years</t>
  </si>
  <si>
    <t>&lt;50 years</t>
  </si>
  <si>
    <t>Heavy soil (clayey)</t>
  </si>
  <si>
    <t>Light soil (loam or sandy loam)</t>
  </si>
  <si>
    <t>0–5 years</t>
  </si>
  <si>
    <t>6–10 years</t>
  </si>
  <si>
    <t>11–20 years</t>
  </si>
  <si>
    <t>21–40 years</t>
  </si>
  <si>
    <t>41–80 years</t>
  </si>
  <si>
    <t>&gt;80 years</t>
  </si>
  <si>
    <t>Granulated NPK</t>
  </si>
  <si>
    <t>Soluble NPK</t>
  </si>
  <si>
    <t>Ammonium sulfate</t>
  </si>
  <si>
    <t>Potassium sulfate</t>
  </si>
  <si>
    <t>Calcium nitrate</t>
  </si>
  <si>
    <t>Diammonium phosphate (DAP)</t>
  </si>
  <si>
    <t>Potassium chloride</t>
  </si>
  <si>
    <t>Single superphosphate</t>
  </si>
  <si>
    <t>Triple superphosphate</t>
  </si>
  <si>
    <t>Ammonium nitrate</t>
  </si>
  <si>
    <t>Ammonium nitrate sulfate</t>
  </si>
  <si>
    <t>Magnesium nitrate</t>
  </si>
  <si>
    <t>Polyphosphates</t>
  </si>
  <si>
    <t>OLIVE GROVE NUTRITIONAL 
REQUIREMENTS CALCULATOR</t>
  </si>
  <si>
    <t>A tool from the ©NUTRIOLIVAR project</t>
  </si>
  <si>
    <t>Authors: Evangelina Pareja Sánchez, Pablo Domouso de Agar, José Liétor Gallego &amp; Roberto García Ruiz</t>
  </si>
  <si>
    <t>INSTRUCTIONS</t>
  </si>
  <si>
    <t>Enter data only in the green fields with information from your olive grove for the last harvest year. You can type the number or select an option from the menu. Do not leave any green fields blank (except for organic and inorganic fertilizers, where you should mark only those you use).</t>
  </si>
  <si>
    <t>In the “Balance” section, the nutritional status of your olive grove will be displayed automatically using a color code (red, yellow, and green), indicating whether nutrient levels are excessive, deficient, or adequate, respectively.</t>
  </si>
  <si>
    <t>In the “Recommendations” section, advice is provided to adjust, if necessary, nutrient doses for the next growing season.</t>
  </si>
  <si>
    <t>FARM DATA</t>
  </si>
  <si>
    <t>Units</t>
  </si>
  <si>
    <t>Results</t>
  </si>
  <si>
    <t>Data</t>
  </si>
  <si>
    <t>Planting density</t>
  </si>
  <si>
    <t>Age</t>
  </si>
  <si>
    <t>Farm area</t>
  </si>
  <si>
    <t>Olive fruit harvest (fresh weight)</t>
  </si>
  <si>
    <t>trees/ha</t>
  </si>
  <si>
    <t>years</t>
  </si>
  <si>
    <t>MANAGEMENT DATA</t>
  </si>
  <si>
    <t>Tillage (tractor passes)</t>
  </si>
  <si>
    <t>Annual irrigation</t>
  </si>
  <si>
    <t>times/year</t>
  </si>
  <si>
    <t>Do you leave a cover crop?</t>
  </si>
  <si>
    <t>If yes, what type of cover crop?</t>
  </si>
  <si>
    <t>What is the average height of the cover crop?</t>
  </si>
  <si>
    <t>What do you do with the pruning?</t>
  </si>
  <si>
    <t>Organic fertilization</t>
  </si>
  <si>
    <t>Product 1</t>
  </si>
  <si>
    <t>Product 2</t>
  </si>
  <si>
    <t>Product 3</t>
  </si>
  <si>
    <t>Product 4</t>
  </si>
  <si>
    <t>Product 5</t>
  </si>
  <si>
    <t>Application rate (fresh weight, ready to apply)</t>
  </si>
  <si>
    <t>Type</t>
  </si>
  <si>
    <t>Product 6</t>
  </si>
  <si>
    <t>Inorganic fertilization</t>
  </si>
  <si>
    <t>Enter the actual percentages of your product in N–P–K format (e.g., 20–10–20) for granulated NPK or soluble NPK. The remaining fertilizers are calculated automatically by entering only the applied dose.</t>
  </si>
  <si>
    <t>Application rate</t>
  </si>
  <si>
    <t>N concentration</t>
  </si>
  <si>
    <t>P concentration</t>
  </si>
  <si>
    <t>K concentration</t>
  </si>
  <si>
    <t>SOIL AND CLIMATE DATA</t>
  </si>
  <si>
    <t>Annual precipitation amount</t>
  </si>
  <si>
    <t>How would you describe your soil?</t>
  </si>
  <si>
    <t>Soil organic matter</t>
  </si>
  <si>
    <t>Slope</t>
  </si>
  <si>
    <t>Gullies</t>
  </si>
  <si>
    <t>BALANCE RESULTS</t>
  </si>
  <si>
    <t>N Balance</t>
  </si>
  <si>
    <t>P Balance</t>
  </si>
  <si>
    <t>K Balance</t>
  </si>
  <si>
    <t>kg N/ha per year</t>
  </si>
  <si>
    <t>kg P/ha per year</t>
  </si>
  <si>
    <t>kg K/ha per year</t>
  </si>
  <si>
    <t>TREE DEMAND</t>
  </si>
  <si>
    <t>Tree N demand</t>
  </si>
  <si>
    <t>Tree P demand</t>
  </si>
  <si>
    <t>Tree K demand</t>
  </si>
  <si>
    <t>RECOMMENDATIONS</t>
  </si>
  <si>
    <t>Composted olive pomace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</si>
</sst>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
    <numFmt numFmtId="167" formatCode="0.000"/>
  </numFmts>
  <fonts count="41" x14ac:knownFonts="1">
    <font>
      <sz val="11"/>
      <color theme="1"/>
      <name val="Calibri"/>
      <family val="2"/>
      <scheme val="minor"/>
    </font>
    <font>
      <b/>
      <sz val="12"/>
      <color theme="9" tint="-0.499984740745262"/>
      <name val="Calibri"/>
      <family val="2"/>
      <scheme val="minor"/>
    </font>
    <font>
      <sz val="9"/>
      <color indexed="81"/>
      <name val="Tahoma"/>
      <family val="2"/>
    </font>
    <font>
      <b/>
      <sz val="9"/>
      <color indexed="81"/>
      <name val="Tahoma"/>
      <family val="2"/>
    </font>
    <font>
      <vertAlign val="superscript"/>
      <sz val="11"/>
      <color theme="1"/>
      <name val="Calibri"/>
      <family val="2"/>
      <scheme val="minor"/>
    </font>
    <font>
      <b/>
      <i/>
      <sz val="11"/>
      <color theme="2" tint="-0.749992370372631"/>
      <name val="Calibri"/>
      <family val="2"/>
      <scheme val="minor"/>
    </font>
    <font>
      <b/>
      <sz val="11"/>
      <color theme="2" tint="-0.749992370372631"/>
      <name val="Calibri"/>
      <family val="2"/>
      <scheme val="minor"/>
    </font>
    <font>
      <i/>
      <sz val="11"/>
      <color theme="1"/>
      <name val="Calibri"/>
      <family val="2"/>
      <scheme val="minor"/>
    </font>
    <font>
      <sz val="11"/>
      <color rgb="FF000000"/>
      <name val="Calibri"/>
      <family val="2"/>
      <scheme val="minor"/>
    </font>
    <font>
      <sz val="11"/>
      <name val="Calibri"/>
      <family val="2"/>
      <scheme val="minor"/>
    </font>
    <font>
      <b/>
      <sz val="11"/>
      <color theme="1"/>
      <name val="Calibri"/>
      <family val="2"/>
      <scheme val="minor"/>
    </font>
    <font>
      <b/>
      <sz val="14"/>
      <color theme="9" tint="-0.499984740745262"/>
      <name val="Calibri"/>
      <family val="2"/>
      <scheme val="minor"/>
    </font>
    <font>
      <b/>
      <sz val="14"/>
      <color rgb="FF2201E9"/>
      <name val="Calibri"/>
      <family val="2"/>
      <scheme val="minor"/>
    </font>
    <font>
      <b/>
      <sz val="18"/>
      <color theme="9" tint="-0.249977111117893"/>
      <name val="Calibri"/>
      <family val="2"/>
      <scheme val="minor"/>
    </font>
    <font>
      <i/>
      <sz val="9"/>
      <color indexed="81"/>
      <name val="Tahoma"/>
      <family val="2"/>
    </font>
    <font>
      <b/>
      <sz val="14"/>
      <color rgb="FFC00000"/>
      <name val="Calibri"/>
      <family val="2"/>
      <scheme val="minor"/>
    </font>
    <font>
      <b/>
      <sz val="14"/>
      <color theme="9" tint="-0.249977111117893"/>
      <name val="Calibri"/>
      <family val="2"/>
      <scheme val="minor"/>
    </font>
    <font>
      <b/>
      <sz val="18"/>
      <color rgb="FF2201E9"/>
      <name val="Calibri"/>
      <family val="2"/>
      <scheme val="minor"/>
    </font>
    <font>
      <b/>
      <sz val="18"/>
      <color theme="9" tint="-0.499984740745262"/>
      <name val="Calibri"/>
      <family val="2"/>
      <scheme val="minor"/>
    </font>
    <font>
      <b/>
      <sz val="22"/>
      <color theme="1"/>
      <name val="Calibri"/>
      <family val="2"/>
      <scheme val="minor"/>
    </font>
    <font>
      <b/>
      <sz val="11"/>
      <name val="Calibri"/>
      <family val="2"/>
      <scheme val="minor"/>
    </font>
    <font>
      <b/>
      <sz val="18"/>
      <color theme="5" tint="-0.499984740745262"/>
      <name val="Calibri"/>
      <family val="2"/>
      <scheme val="minor"/>
    </font>
    <font>
      <b/>
      <sz val="14"/>
      <color theme="5" tint="-0.499984740745262"/>
      <name val="Calibri"/>
      <family val="2"/>
      <scheme val="minor"/>
    </font>
    <font>
      <b/>
      <vertAlign val="subscript"/>
      <sz val="14"/>
      <color theme="5" tint="-0.499984740745262"/>
      <name val="Calibri"/>
      <family val="2"/>
      <scheme val="minor"/>
    </font>
    <font>
      <sz val="8"/>
      <name val="Calibri"/>
      <family val="2"/>
      <scheme val="minor"/>
    </font>
    <font>
      <b/>
      <sz val="24"/>
      <color theme="1"/>
      <name val="Calibri"/>
      <family val="2"/>
      <scheme val="minor"/>
    </font>
    <font>
      <b/>
      <sz val="18"/>
      <color theme="7" tint="-0.499984740745262"/>
      <name val="Calibri"/>
      <family val="2"/>
      <scheme val="minor"/>
    </font>
    <font>
      <b/>
      <sz val="14"/>
      <color theme="7" tint="-0.499984740745262"/>
      <name val="Calibri"/>
      <family val="2"/>
      <scheme val="minor"/>
    </font>
    <font>
      <b/>
      <sz val="18"/>
      <color theme="9" tint="0.79998168889431442"/>
      <name val="Calibri"/>
      <family val="2"/>
      <scheme val="minor"/>
    </font>
    <font>
      <b/>
      <sz val="18"/>
      <color theme="1"/>
      <name val="Calibri"/>
      <family val="2"/>
      <scheme val="minor"/>
    </font>
    <font>
      <b/>
      <vertAlign val="superscript"/>
      <sz val="11"/>
      <color theme="1"/>
      <name val="Calibri"/>
      <family val="2"/>
      <scheme val="minor"/>
    </font>
    <font>
      <b/>
      <sz val="18"/>
      <color theme="0"/>
      <name val="Calibri"/>
      <family val="2"/>
      <scheme val="minor"/>
    </font>
    <font>
      <b/>
      <sz val="14"/>
      <name val="Calibri"/>
      <family val="2"/>
      <scheme val="minor"/>
    </font>
    <font>
      <b/>
      <sz val="12"/>
      <color theme="0"/>
      <name val="Calibri"/>
      <family val="2"/>
      <scheme val="minor"/>
    </font>
    <font>
      <b/>
      <sz val="19"/>
      <color theme="1"/>
      <name val="Calibri"/>
      <family val="2"/>
      <scheme val="minor"/>
    </font>
    <font>
      <sz val="19"/>
      <color theme="1"/>
      <name val="Calibri"/>
      <family val="2"/>
      <scheme val="minor"/>
    </font>
    <font>
      <b/>
      <sz val="10"/>
      <color theme="2" tint="-0.749992370372631"/>
      <name val="Calibri"/>
      <family val="2"/>
      <scheme val="minor"/>
    </font>
    <font>
      <sz val="10"/>
      <color theme="1"/>
      <name val="Calibri"/>
      <family val="2"/>
      <scheme val="minor"/>
    </font>
    <font>
      <sz val="8"/>
      <color theme="1"/>
      <name val="Calibri"/>
      <family val="2"/>
    </font>
    <font>
      <sz val="8"/>
      <color theme="1"/>
      <name val="Calibri"/>
      <family val="2"/>
      <scheme val="minor"/>
    </font>
    <font>
      <sz val="10"/>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4" tint="0.79998168889431442"/>
        <bgColor indexed="64"/>
      </patternFill>
    </fill>
  </fills>
  <borders count="5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dotted">
        <color indexed="64"/>
      </bottom>
      <diagonal/>
    </border>
    <border>
      <left/>
      <right style="thin">
        <color auto="1"/>
      </right>
      <top style="dotted">
        <color indexed="64"/>
      </top>
      <bottom style="dotted">
        <color indexed="64"/>
      </bottom>
      <diagonal/>
    </border>
    <border>
      <left/>
      <right style="thin">
        <color auto="1"/>
      </right>
      <top/>
      <bottom style="dotted">
        <color indexed="64"/>
      </bottom>
      <diagonal/>
    </border>
    <border>
      <left/>
      <right style="thin">
        <color auto="1"/>
      </right>
      <top style="dotted">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1"/>
      </bottom>
      <diagonal/>
    </border>
    <border>
      <left/>
      <right style="thin">
        <color auto="1"/>
      </right>
      <top style="thin">
        <color auto="1"/>
      </top>
      <bottom style="dotted">
        <color theme="1"/>
      </bottom>
      <diagonal/>
    </border>
    <border>
      <left/>
      <right style="thin">
        <color theme="1"/>
      </right>
      <top style="thin">
        <color theme="1"/>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style="thick">
        <color theme="0" tint="-0.249977111117893"/>
      </left>
      <right/>
      <top style="thick">
        <color theme="0" tint="-0.249977111117893"/>
      </top>
      <bottom/>
      <diagonal/>
    </border>
    <border>
      <left/>
      <right/>
      <top style="thick">
        <color theme="0" tint="-0.249977111117893"/>
      </top>
      <bottom/>
      <diagonal/>
    </border>
    <border>
      <left/>
      <right style="thick">
        <color theme="0" tint="-0.249977111117893"/>
      </right>
      <top style="thick">
        <color theme="0" tint="-0.249977111117893"/>
      </top>
      <bottom/>
      <diagonal/>
    </border>
    <border>
      <left style="thick">
        <color theme="0" tint="-0.249977111117893"/>
      </left>
      <right/>
      <top/>
      <bottom/>
      <diagonal/>
    </border>
    <border>
      <left/>
      <right style="thick">
        <color theme="0" tint="-0.249977111117893"/>
      </right>
      <top/>
      <bottom/>
      <diagonal/>
    </border>
    <border>
      <left style="thick">
        <color theme="0" tint="-0.249977111117893"/>
      </left>
      <right/>
      <top/>
      <bottom style="thick">
        <color theme="0" tint="-0.249977111117893"/>
      </bottom>
      <diagonal/>
    </border>
    <border>
      <left/>
      <right/>
      <top/>
      <bottom style="thick">
        <color theme="0" tint="-0.249977111117893"/>
      </bottom>
      <diagonal/>
    </border>
    <border>
      <left/>
      <right style="thick">
        <color theme="0" tint="-0.249977111117893"/>
      </right>
      <top/>
      <bottom style="thick">
        <color theme="0" tint="-0.249977111117893"/>
      </bottom>
      <diagonal/>
    </border>
    <border>
      <left style="thin">
        <color auto="1"/>
      </left>
      <right style="thick">
        <color theme="0" tint="-0.24997711111789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theme="2" tint="-9.9978637043366805E-2"/>
      </left>
      <right/>
      <top/>
      <bottom/>
      <diagonal/>
    </border>
    <border>
      <left/>
      <right/>
      <top style="thick">
        <color theme="2" tint="-0.24997711111789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ck">
        <color theme="0" tint="-0.249977111117893"/>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1">
    <xf numFmtId="0" fontId="0" fillId="0" borderId="0"/>
  </cellStyleXfs>
  <cellXfs count="321">
    <xf numFmtId="0" fontId="0" fillId="0" borderId="0" xfId="0"/>
    <xf numFmtId="0" fontId="1" fillId="0" borderId="0" xfId="0" applyFont="1"/>
    <xf numFmtId="0" fontId="0" fillId="0" borderId="0" xfId="0" applyAlignment="1">
      <alignment wrapText="1"/>
    </xf>
    <xf numFmtId="0" fontId="8" fillId="0" borderId="0" xfId="0" applyFont="1"/>
    <xf numFmtId="0" fontId="0" fillId="2" borderId="0" xfId="0" applyFill="1"/>
    <xf numFmtId="0" fontId="0" fillId="2" borderId="0" xfId="0" applyFill="1" applyBorder="1" applyAlignment="1">
      <alignment wrapText="1"/>
    </xf>
    <xf numFmtId="0" fontId="0" fillId="2" borderId="0" xfId="0" applyFill="1" applyBorder="1"/>
    <xf numFmtId="0" fontId="0" fillId="2" borderId="5" xfId="0" applyNumberFormat="1" applyFill="1" applyBorder="1"/>
    <xf numFmtId="0" fontId="0" fillId="2" borderId="9" xfId="0" applyNumberFormat="1" applyFill="1" applyBorder="1"/>
    <xf numFmtId="0" fontId="0" fillId="2" borderId="10" xfId="0" applyNumberFormat="1" applyFill="1" applyBorder="1"/>
    <xf numFmtId="0" fontId="0" fillId="2" borderId="9" xfId="0" applyFill="1" applyBorder="1"/>
    <xf numFmtId="0" fontId="5" fillId="5" borderId="0" xfId="0" applyFont="1" applyFill="1" applyBorder="1"/>
    <xf numFmtId="0" fontId="5" fillId="5" borderId="0" xfId="0" applyFont="1" applyFill="1" applyBorder="1" applyAlignment="1">
      <alignment wrapText="1"/>
    </xf>
    <xf numFmtId="0" fontId="5" fillId="5" borderId="0" xfId="0" applyFont="1" applyFill="1" applyBorder="1" applyAlignment="1">
      <alignment horizontal="right" wrapText="1"/>
    </xf>
    <xf numFmtId="0" fontId="11" fillId="5" borderId="0" xfId="0" applyFont="1" applyFill="1" applyBorder="1"/>
    <xf numFmtId="0" fontId="0" fillId="5" borderId="0" xfId="0" applyFill="1" applyBorder="1" applyAlignment="1">
      <alignment wrapText="1"/>
    </xf>
    <xf numFmtId="0" fontId="0" fillId="5" borderId="0" xfId="0" applyFill="1" applyBorder="1"/>
    <xf numFmtId="0" fontId="6" fillId="5" borderId="1" xfId="0" applyFont="1" applyFill="1" applyBorder="1"/>
    <xf numFmtId="0" fontId="0" fillId="5" borderId="2" xfId="0" applyFont="1" applyFill="1" applyBorder="1" applyAlignment="1">
      <alignment wrapText="1"/>
    </xf>
    <xf numFmtId="0" fontId="0" fillId="5" borderId="2" xfId="0" applyFill="1" applyBorder="1"/>
    <xf numFmtId="0" fontId="0" fillId="5" borderId="4" xfId="0" applyFill="1" applyBorder="1"/>
    <xf numFmtId="0" fontId="0" fillId="5" borderId="0" xfId="0" applyFont="1" applyFill="1" applyBorder="1" applyAlignment="1">
      <alignment wrapText="1"/>
    </xf>
    <xf numFmtId="0" fontId="6" fillId="5" borderId="4" xfId="0" applyFont="1" applyFill="1" applyBorder="1"/>
    <xf numFmtId="0" fontId="10" fillId="5" borderId="5" xfId="0" applyNumberFormat="1" applyFont="1" applyFill="1" applyBorder="1"/>
    <xf numFmtId="0" fontId="6" fillId="5" borderId="6" xfId="0" applyFont="1" applyFill="1" applyBorder="1"/>
    <xf numFmtId="0" fontId="0" fillId="4" borderId="7" xfId="0" applyFont="1" applyFill="1" applyBorder="1" applyAlignment="1">
      <alignment horizontal="right" wrapText="1"/>
    </xf>
    <xf numFmtId="0" fontId="0" fillId="4" borderId="7" xfId="0" applyFill="1" applyBorder="1"/>
    <xf numFmtId="2" fontId="0" fillId="4" borderId="8" xfId="0" applyNumberFormat="1" applyFill="1" applyBorder="1"/>
    <xf numFmtId="0" fontId="0" fillId="5" borderId="0" xfId="0" applyFont="1" applyFill="1" applyBorder="1"/>
    <xf numFmtId="0" fontId="0" fillId="5" borderId="2" xfId="0" applyFill="1" applyBorder="1" applyAlignment="1">
      <alignment wrapText="1"/>
    </xf>
    <xf numFmtId="0" fontId="0" fillId="5" borderId="1" xfId="0" applyFill="1" applyBorder="1"/>
    <xf numFmtId="0" fontId="0" fillId="5" borderId="3" xfId="0" applyFill="1" applyBorder="1"/>
    <xf numFmtId="0" fontId="0" fillId="5" borderId="5" xfId="0" applyFill="1" applyBorder="1"/>
    <xf numFmtId="0" fontId="0" fillId="5" borderId="6" xfId="0" applyFill="1" applyBorder="1"/>
    <xf numFmtId="0" fontId="0" fillId="5" borderId="7" xfId="0" applyFill="1" applyBorder="1"/>
    <xf numFmtId="0" fontId="0" fillId="0" borderId="0" xfId="0" applyFill="1" applyBorder="1"/>
    <xf numFmtId="0" fontId="0" fillId="5" borderId="0" xfId="0" applyNumberFormat="1" applyFill="1" applyBorder="1"/>
    <xf numFmtId="0" fontId="0" fillId="5" borderId="0" xfId="0" applyFill="1" applyBorder="1" applyAlignment="1">
      <alignment horizontal="right" wrapText="1"/>
    </xf>
    <xf numFmtId="0" fontId="20" fillId="5" borderId="5" xfId="0" applyNumberFormat="1" applyFont="1" applyFill="1" applyBorder="1"/>
    <xf numFmtId="0" fontId="0" fillId="5" borderId="15" xfId="0" applyNumberFormat="1" applyFill="1" applyBorder="1"/>
    <xf numFmtId="0" fontId="15" fillId="5" borderId="0" xfId="0" applyFont="1" applyFill="1" applyBorder="1"/>
    <xf numFmtId="0" fontId="0" fillId="5" borderId="4" xfId="0" applyFill="1" applyBorder="1" applyAlignment="1">
      <alignment wrapText="1"/>
    </xf>
    <xf numFmtId="0" fontId="0" fillId="5" borderId="0" xfId="0" applyFont="1" applyFill="1" applyBorder="1" applyAlignment="1">
      <alignment horizontal="right" wrapText="1"/>
    </xf>
    <xf numFmtId="0" fontId="0" fillId="5" borderId="0" xfId="0" applyFont="1" applyFill="1" applyBorder="1" applyAlignment="1">
      <alignment horizontal="left" wrapText="1"/>
    </xf>
    <xf numFmtId="2" fontId="0" fillId="5" borderId="5" xfId="0" applyNumberFormat="1" applyFill="1" applyBorder="1"/>
    <xf numFmtId="0" fontId="1" fillId="5" borderId="4" xfId="0" applyFont="1" applyFill="1" applyBorder="1"/>
    <xf numFmtId="0" fontId="22" fillId="5" borderId="0" xfId="0" applyFont="1" applyFill="1" applyBorder="1"/>
    <xf numFmtId="0" fontId="0" fillId="6" borderId="7" xfId="0" applyFont="1" applyFill="1" applyBorder="1" applyAlignment="1">
      <alignment horizontal="right" wrapText="1"/>
    </xf>
    <xf numFmtId="0" fontId="0" fillId="6" borderId="7" xfId="0" applyFill="1" applyBorder="1"/>
    <xf numFmtId="2" fontId="0" fillId="6" borderId="8" xfId="0" applyNumberFormat="1" applyFill="1" applyBorder="1"/>
    <xf numFmtId="0" fontId="10" fillId="5" borderId="5" xfId="0" applyFont="1" applyFill="1" applyBorder="1"/>
    <xf numFmtId="0" fontId="0" fillId="2" borderId="16" xfId="0" applyFill="1" applyBorder="1"/>
    <xf numFmtId="0" fontId="10" fillId="5" borderId="3" xfId="0" applyFont="1" applyFill="1" applyBorder="1"/>
    <xf numFmtId="0" fontId="5" fillId="5" borderId="15" xfId="0" applyFont="1" applyFill="1" applyBorder="1" applyAlignment="1">
      <alignment wrapText="1"/>
    </xf>
    <xf numFmtId="0" fontId="12" fillId="5" borderId="0" xfId="0" applyFont="1" applyFill="1" applyBorder="1"/>
    <xf numFmtId="0" fontId="16" fillId="5" borderId="0" xfId="0" applyFont="1" applyFill="1" applyBorder="1"/>
    <xf numFmtId="2" fontId="10" fillId="5" borderId="3" xfId="0" applyNumberFormat="1" applyFont="1" applyFill="1" applyBorder="1"/>
    <xf numFmtId="2" fontId="10" fillId="5" borderId="5" xfId="0" applyNumberFormat="1" applyFont="1" applyFill="1" applyBorder="1"/>
    <xf numFmtId="0" fontId="0" fillId="4" borderId="6" xfId="0" applyFill="1" applyBorder="1"/>
    <xf numFmtId="0" fontId="0" fillId="6" borderId="6" xfId="0" applyFill="1" applyBorder="1"/>
    <xf numFmtId="0" fontId="0" fillId="4" borderId="8" xfId="0" applyFill="1" applyBorder="1"/>
    <xf numFmtId="0" fontId="0" fillId="4" borderId="7" xfId="0" applyFill="1" applyBorder="1" applyAlignment="1">
      <alignment horizontal="right"/>
    </xf>
    <xf numFmtId="0" fontId="0" fillId="2" borderId="17" xfId="0" applyNumberFormat="1" applyFill="1" applyBorder="1"/>
    <xf numFmtId="0" fontId="0" fillId="2" borderId="11" xfId="0" applyNumberFormat="1" applyFont="1" applyFill="1" applyBorder="1"/>
    <xf numFmtId="0" fontId="0" fillId="4" borderId="0" xfId="0" applyFont="1" applyFill="1" applyBorder="1" applyAlignment="1">
      <alignment horizontal="right" wrapText="1"/>
    </xf>
    <xf numFmtId="0" fontId="0" fillId="4" borderId="0" xfId="0" applyFill="1" applyBorder="1"/>
    <xf numFmtId="2" fontId="0" fillId="4" borderId="5" xfId="0" applyNumberFormat="1" applyFill="1" applyBorder="1"/>
    <xf numFmtId="0" fontId="0" fillId="0" borderId="0" xfId="0" applyFill="1"/>
    <xf numFmtId="0" fontId="0" fillId="5" borderId="10" xfId="0" applyFill="1" applyBorder="1"/>
    <xf numFmtId="0" fontId="10" fillId="7" borderId="18" xfId="0" applyFont="1" applyFill="1" applyBorder="1" applyAlignment="1">
      <alignment horizontal="left" vertical="center" wrapText="1"/>
    </xf>
    <xf numFmtId="0" fontId="10" fillId="0" borderId="18" xfId="0" applyFont="1" applyBorder="1"/>
    <xf numFmtId="0" fontId="10" fillId="0" borderId="0" xfId="0" applyFont="1" applyAlignment="1">
      <alignment horizontal="left" vertical="center" indent="1"/>
    </xf>
    <xf numFmtId="0" fontId="0" fillId="0" borderId="0" xfId="0" applyAlignment="1">
      <alignment horizontal="left" vertical="center" indent="1"/>
    </xf>
    <xf numFmtId="0" fontId="25" fillId="0" borderId="0" xfId="0" applyFont="1" applyAlignment="1">
      <alignment vertical="center"/>
    </xf>
    <xf numFmtId="0" fontId="0" fillId="0" borderId="0" xfId="0" applyBorder="1"/>
    <xf numFmtId="0" fontId="0" fillId="2" borderId="9" xfId="0" quotePrefix="1" applyNumberFormat="1" applyFill="1" applyBorder="1"/>
    <xf numFmtId="165" fontId="0" fillId="5" borderId="5" xfId="0" applyNumberFormat="1" applyFill="1" applyBorder="1"/>
    <xf numFmtId="0" fontId="0" fillId="5" borderId="5" xfId="0" applyNumberFormat="1" applyFont="1" applyFill="1" applyBorder="1"/>
    <xf numFmtId="0" fontId="0" fillId="6" borderId="0" xfId="0" applyFont="1" applyFill="1" applyBorder="1" applyAlignment="1">
      <alignment horizontal="right" wrapText="1"/>
    </xf>
    <xf numFmtId="0" fontId="0" fillId="6" borderId="0" xfId="0" applyFill="1" applyBorder="1"/>
    <xf numFmtId="2" fontId="0" fillId="6" borderId="5" xfId="0" applyNumberFormat="1" applyFill="1" applyBorder="1"/>
    <xf numFmtId="2" fontId="0" fillId="5" borderId="5" xfId="0" applyNumberFormat="1" applyFont="1" applyFill="1" applyBorder="1"/>
    <xf numFmtId="10" fontId="10" fillId="5" borderId="5" xfId="0" applyNumberFormat="1" applyFont="1" applyFill="1" applyBorder="1"/>
    <xf numFmtId="166" fontId="10" fillId="5" borderId="5" xfId="0" applyNumberFormat="1" applyFont="1" applyFill="1" applyBorder="1"/>
    <xf numFmtId="10" fontId="10" fillId="5" borderId="12" xfId="0" applyNumberFormat="1" applyFont="1" applyFill="1" applyBorder="1"/>
    <xf numFmtId="0" fontId="0" fillId="2" borderId="10" xfId="0" applyFill="1" applyBorder="1"/>
    <xf numFmtId="0" fontId="10" fillId="5" borderId="9" xfId="0" applyNumberFormat="1" applyFont="1" applyFill="1" applyBorder="1"/>
    <xf numFmtId="0" fontId="0" fillId="0" borderId="18" xfId="0" applyBorder="1"/>
    <xf numFmtId="0" fontId="10" fillId="8" borderId="18" xfId="0" applyFont="1" applyFill="1" applyBorder="1"/>
    <xf numFmtId="10" fontId="0" fillId="0" borderId="18" xfId="0" applyNumberFormat="1" applyFont="1" applyBorder="1" applyAlignment="1">
      <alignment horizontal="left" vertical="center" indent="1"/>
    </xf>
    <xf numFmtId="10" fontId="0" fillId="0" borderId="18" xfId="0" applyNumberFormat="1" applyFill="1" applyBorder="1" applyAlignment="1">
      <alignment horizontal="left" vertical="center" indent="1"/>
    </xf>
    <xf numFmtId="166" fontId="0" fillId="0" borderId="18" xfId="0" applyNumberFormat="1" applyBorder="1"/>
    <xf numFmtId="10" fontId="0" fillId="5" borderId="5" xfId="0" applyNumberFormat="1" applyFill="1" applyBorder="1"/>
    <xf numFmtId="0" fontId="0" fillId="4" borderId="4" xfId="0" applyFill="1" applyBorder="1"/>
    <xf numFmtId="0" fontId="0" fillId="6" borderId="4" xfId="0" applyFill="1" applyBorder="1"/>
    <xf numFmtId="0" fontId="0" fillId="3" borderId="0" xfId="0" applyFont="1" applyFill="1" applyBorder="1"/>
    <xf numFmtId="0" fontId="0" fillId="3" borderId="1" xfId="0" applyFont="1" applyFill="1" applyBorder="1"/>
    <xf numFmtId="0" fontId="0" fillId="3" borderId="2" xfId="0" applyFont="1" applyFill="1" applyBorder="1"/>
    <xf numFmtId="0" fontId="0" fillId="3" borderId="4" xfId="0" applyFont="1" applyFill="1" applyBorder="1"/>
    <xf numFmtId="0" fontId="0" fillId="3" borderId="6" xfId="0" applyFont="1" applyFill="1" applyBorder="1"/>
    <xf numFmtId="0" fontId="0" fillId="3" borderId="7" xfId="0" applyFont="1" applyFill="1" applyBorder="1"/>
    <xf numFmtId="0" fontId="10" fillId="0" borderId="18" xfId="0" applyFont="1" applyBorder="1" applyAlignment="1">
      <alignment horizontal="center" vertical="center" wrapText="1"/>
    </xf>
    <xf numFmtId="0" fontId="10" fillId="0" borderId="18" xfId="0" applyFont="1" applyBorder="1" applyAlignment="1">
      <alignment horizontal="right" vertical="center" wrapText="1"/>
    </xf>
    <xf numFmtId="0" fontId="0" fillId="0" borderId="18" xfId="0" applyBorder="1" applyAlignment="1">
      <alignment vertical="center" wrapText="1"/>
    </xf>
    <xf numFmtId="0" fontId="0" fillId="0" borderId="18" xfId="0" applyFont="1" applyBorder="1" applyAlignment="1">
      <alignment horizontal="right" vertical="center" wrapText="1"/>
    </xf>
    <xf numFmtId="0" fontId="10" fillId="0" borderId="8" xfId="0" applyFont="1" applyFill="1" applyBorder="1" applyAlignment="1">
      <alignment horizontal="left" vertical="center" wrapText="1"/>
    </xf>
    <xf numFmtId="0" fontId="10" fillId="0" borderId="19" xfId="0" applyFont="1" applyFill="1" applyBorder="1" applyAlignment="1">
      <alignment horizontal="center" vertical="center" wrapText="1"/>
    </xf>
    <xf numFmtId="0" fontId="10" fillId="0" borderId="6" xfId="0" applyFont="1" applyFill="1" applyBorder="1" applyAlignment="1">
      <alignment horizontal="center" vertical="center" wrapText="1"/>
    </xf>
    <xf numFmtId="164" fontId="0" fillId="0" borderId="19" xfId="0" applyNumberFormat="1" applyFill="1" applyBorder="1" applyAlignment="1">
      <alignment horizontal="center" vertical="center" wrapText="1"/>
    </xf>
    <xf numFmtId="164" fontId="0" fillId="0" borderId="6" xfId="0" applyNumberFormat="1" applyFill="1" applyBorder="1" applyAlignment="1">
      <alignment horizontal="center" vertical="center" wrapText="1"/>
    </xf>
    <xf numFmtId="164" fontId="0" fillId="0" borderId="6" xfId="0" applyNumberFormat="1" applyFill="1" applyBorder="1"/>
    <xf numFmtId="164" fontId="0" fillId="0" borderId="18" xfId="0" applyNumberFormat="1" applyFill="1" applyBorder="1" applyAlignment="1">
      <alignment horizontal="center" vertical="center" wrapText="1"/>
    </xf>
    <xf numFmtId="164" fontId="0" fillId="0" borderId="13" xfId="0" applyNumberFormat="1" applyFill="1" applyBorder="1" applyAlignment="1">
      <alignment horizontal="center" vertical="center" wrapText="1"/>
    </xf>
    <xf numFmtId="164" fontId="0" fillId="0" borderId="13" xfId="0" applyNumberFormat="1" applyFill="1" applyBorder="1"/>
    <xf numFmtId="164" fontId="0" fillId="0" borderId="20" xfId="0" applyNumberFormat="1" applyFill="1" applyBorder="1" applyAlignment="1">
      <alignment horizontal="center" vertical="center" wrapText="1"/>
    </xf>
    <xf numFmtId="164" fontId="0" fillId="0" borderId="1" xfId="0" applyNumberFormat="1" applyFill="1" applyBorder="1" applyAlignment="1">
      <alignment horizontal="center" vertical="center" wrapText="1"/>
    </xf>
    <xf numFmtId="164" fontId="0" fillId="0" borderId="1" xfId="0" applyNumberFormat="1" applyFill="1" applyBorder="1"/>
    <xf numFmtId="164" fontId="0" fillId="0" borderId="4" xfId="0" applyNumberFormat="1" applyFill="1" applyBorder="1"/>
    <xf numFmtId="0" fontId="0" fillId="0" borderId="5" xfId="0" applyBorder="1"/>
    <xf numFmtId="2" fontId="10" fillId="5" borderId="0" xfId="0" applyNumberFormat="1" applyFont="1" applyFill="1" applyBorder="1"/>
    <xf numFmtId="0" fontId="27" fillId="5" borderId="0" xfId="0" applyFont="1" applyFill="1" applyBorder="1"/>
    <xf numFmtId="0" fontId="0" fillId="12" borderId="0" xfId="0" applyFill="1" applyBorder="1"/>
    <xf numFmtId="0" fontId="0" fillId="12" borderId="7" xfId="0" applyFill="1" applyBorder="1"/>
    <xf numFmtId="2" fontId="10" fillId="12" borderId="0" xfId="0" applyNumberFormat="1" applyFont="1" applyFill="1" applyBorder="1"/>
    <xf numFmtId="0" fontId="9" fillId="12" borderId="0" xfId="0" applyFont="1" applyFill="1" applyBorder="1"/>
    <xf numFmtId="0" fontId="9" fillId="12" borderId="7" xfId="0" applyFont="1" applyFill="1" applyBorder="1"/>
    <xf numFmtId="0" fontId="0" fillId="5" borderId="0" xfId="0" applyFill="1" applyBorder="1" applyAlignment="1">
      <alignment horizontal="left" vertical="center"/>
    </xf>
    <xf numFmtId="0" fontId="0" fillId="5" borderId="0" xfId="0" applyFill="1" applyBorder="1" applyAlignment="1">
      <alignment horizontal="left" vertical="center" indent="1"/>
    </xf>
    <xf numFmtId="0" fontId="0" fillId="5" borderId="0" xfId="0" applyFill="1" applyBorder="1" applyAlignment="1">
      <alignment horizontal="left"/>
    </xf>
    <xf numFmtId="0" fontId="0" fillId="5" borderId="21" xfId="0" applyFill="1" applyBorder="1"/>
    <xf numFmtId="0" fontId="0" fillId="5" borderId="22" xfId="0" applyFill="1" applyBorder="1"/>
    <xf numFmtId="0" fontId="0" fillId="5" borderId="22" xfId="0" applyFill="1" applyBorder="1" applyAlignment="1">
      <alignment wrapText="1"/>
    </xf>
    <xf numFmtId="0" fontId="0" fillId="5" borderId="23" xfId="0" applyFill="1" applyBorder="1"/>
    <xf numFmtId="0" fontId="0" fillId="5" borderId="24" xfId="0" applyFill="1" applyBorder="1"/>
    <xf numFmtId="0" fontId="0" fillId="5" borderId="25" xfId="0" applyFill="1" applyBorder="1"/>
    <xf numFmtId="0" fontId="0" fillId="5" borderId="26" xfId="0" applyFill="1" applyBorder="1"/>
    <xf numFmtId="0" fontId="0" fillId="5" borderId="27" xfId="0" applyFill="1" applyBorder="1" applyAlignment="1">
      <alignment horizontal="left"/>
    </xf>
    <xf numFmtId="0" fontId="0" fillId="5" borderId="27" xfId="0" applyFill="1" applyBorder="1"/>
    <xf numFmtId="0" fontId="0" fillId="5" borderId="28" xfId="0" applyFill="1" applyBorder="1"/>
    <xf numFmtId="0" fontId="0" fillId="5" borderId="25" xfId="0" applyFill="1" applyBorder="1" applyAlignment="1"/>
    <xf numFmtId="0" fontId="0" fillId="5" borderId="25" xfId="0" applyFill="1" applyBorder="1" applyAlignment="1">
      <alignment wrapText="1"/>
    </xf>
    <xf numFmtId="0" fontId="0" fillId="5" borderId="27" xfId="0" applyFont="1" applyFill="1" applyBorder="1" applyAlignment="1">
      <alignment horizontal="right" wrapText="1"/>
    </xf>
    <xf numFmtId="2" fontId="0" fillId="5" borderId="27" xfId="0" applyNumberFormat="1" applyFill="1" applyBorder="1"/>
    <xf numFmtId="0" fontId="0" fillId="5" borderId="29" xfId="0" applyFill="1" applyBorder="1"/>
    <xf numFmtId="0" fontId="29" fillId="5" borderId="1" xfId="0" applyFont="1" applyFill="1" applyBorder="1" applyAlignment="1">
      <alignment vertical="center"/>
    </xf>
    <xf numFmtId="0" fontId="10" fillId="5" borderId="4" xfId="0" applyFont="1" applyFill="1" applyBorder="1" applyAlignment="1">
      <alignment vertical="center"/>
    </xf>
    <xf numFmtId="0" fontId="0" fillId="5" borderId="4" xfId="0" applyFill="1" applyBorder="1" applyAlignment="1">
      <alignment vertical="center"/>
    </xf>
    <xf numFmtId="0" fontId="10" fillId="5" borderId="4" xfId="0" applyFont="1" applyFill="1" applyBorder="1" applyAlignment="1"/>
    <xf numFmtId="0" fontId="29" fillId="5" borderId="4" xfId="0" applyFont="1" applyFill="1" applyBorder="1" applyAlignment="1">
      <alignment vertical="center"/>
    </xf>
    <xf numFmtId="0" fontId="10" fillId="5" borderId="4" xfId="0" applyFont="1" applyFill="1" applyBorder="1" applyAlignment="1">
      <alignment horizontal="left" vertical="center"/>
    </xf>
    <xf numFmtId="0" fontId="10" fillId="5" borderId="4" xfId="0" applyFont="1" applyFill="1" applyBorder="1" applyAlignment="1">
      <alignment horizontal="left"/>
    </xf>
    <xf numFmtId="0" fontId="0" fillId="5" borderId="4" xfId="0" applyFill="1" applyBorder="1" applyAlignment="1">
      <alignment horizontal="left"/>
    </xf>
    <xf numFmtId="0" fontId="10" fillId="5" borderId="6" xfId="0" applyFont="1" applyFill="1" applyBorder="1" applyAlignment="1">
      <alignment horizontal="left"/>
    </xf>
    <xf numFmtId="0" fontId="9" fillId="5" borderId="8" xfId="0" applyFont="1" applyFill="1" applyBorder="1"/>
    <xf numFmtId="2" fontId="0" fillId="12" borderId="5" xfId="0" applyNumberFormat="1" applyFont="1" applyFill="1" applyBorder="1"/>
    <xf numFmtId="0" fontId="17" fillId="11" borderId="0" xfId="0" applyFont="1" applyFill="1" applyBorder="1" applyAlignment="1">
      <alignment horizontal="center"/>
    </xf>
    <xf numFmtId="167" fontId="10" fillId="5" borderId="5" xfId="0" applyNumberFormat="1" applyFont="1" applyFill="1" applyBorder="1"/>
    <xf numFmtId="0" fontId="19" fillId="5" borderId="30" xfId="0" applyFont="1" applyFill="1" applyBorder="1" applyAlignment="1">
      <alignment vertical="center"/>
    </xf>
    <xf numFmtId="0" fontId="19" fillId="5" borderId="31" xfId="0" applyFont="1" applyFill="1" applyBorder="1" applyAlignment="1">
      <alignment vertical="center"/>
    </xf>
    <xf numFmtId="0" fontId="19" fillId="5" borderId="32" xfId="0" applyFont="1" applyFill="1" applyBorder="1" applyAlignment="1">
      <alignment vertical="center"/>
    </xf>
    <xf numFmtId="0" fontId="19" fillId="5" borderId="33" xfId="0" applyFont="1" applyFill="1" applyBorder="1" applyAlignment="1">
      <alignment vertical="center"/>
    </xf>
    <xf numFmtId="0" fontId="19" fillId="5" borderId="0" xfId="0" applyFont="1" applyFill="1" applyBorder="1" applyAlignment="1">
      <alignment vertical="center"/>
    </xf>
    <xf numFmtId="0" fontId="19" fillId="5" borderId="34" xfId="0" applyFont="1" applyFill="1" applyBorder="1" applyAlignment="1">
      <alignment vertical="center"/>
    </xf>
    <xf numFmtId="0" fontId="19" fillId="5" borderId="35" xfId="0" applyFont="1" applyFill="1" applyBorder="1" applyAlignment="1">
      <alignment vertical="center"/>
    </xf>
    <xf numFmtId="0" fontId="19" fillId="5" borderId="36" xfId="0" applyFont="1" applyFill="1" applyBorder="1" applyAlignment="1">
      <alignment vertical="center"/>
    </xf>
    <xf numFmtId="0" fontId="19" fillId="5" borderId="37" xfId="0" applyFont="1" applyFill="1" applyBorder="1" applyAlignment="1">
      <alignment vertical="center"/>
    </xf>
    <xf numFmtId="0" fontId="0" fillId="5" borderId="0" xfId="0" applyFill="1"/>
    <xf numFmtId="0" fontId="0" fillId="5" borderId="5" xfId="0" applyNumberFormat="1" applyFill="1" applyBorder="1"/>
    <xf numFmtId="0" fontId="0" fillId="5" borderId="0" xfId="0" applyFill="1" applyAlignment="1">
      <alignment wrapText="1"/>
    </xf>
    <xf numFmtId="0" fontId="0" fillId="0" borderId="14" xfId="0" applyBorder="1"/>
    <xf numFmtId="0" fontId="0" fillId="0" borderId="41" xfId="0" applyBorder="1"/>
    <xf numFmtId="0" fontId="10" fillId="0" borderId="42" xfId="0" applyFont="1" applyBorder="1"/>
    <xf numFmtId="0" fontId="10" fillId="12" borderId="39" xfId="0" applyFont="1" applyFill="1" applyBorder="1"/>
    <xf numFmtId="0" fontId="10" fillId="10" borderId="38" xfId="0" applyFont="1" applyFill="1" applyBorder="1"/>
    <xf numFmtId="0" fontId="10" fillId="13" borderId="40" xfId="0" applyFont="1" applyFill="1" applyBorder="1"/>
    <xf numFmtId="0" fontId="10" fillId="12" borderId="43" xfId="0" applyFont="1" applyFill="1" applyBorder="1"/>
    <xf numFmtId="0" fontId="0" fillId="0" borderId="44" xfId="0" applyBorder="1"/>
    <xf numFmtId="0" fontId="0" fillId="0" borderId="45" xfId="0" applyBorder="1"/>
    <xf numFmtId="0" fontId="0" fillId="0" borderId="47" xfId="0" applyBorder="1"/>
    <xf numFmtId="0" fontId="10" fillId="13" borderId="46" xfId="0" applyFont="1" applyFill="1" applyBorder="1"/>
    <xf numFmtId="165" fontId="0" fillId="5" borderId="12" xfId="0" applyNumberFormat="1" applyFill="1" applyBorder="1"/>
    <xf numFmtId="167" fontId="10" fillId="5" borderId="12" xfId="0" applyNumberFormat="1" applyFont="1" applyFill="1" applyBorder="1"/>
    <xf numFmtId="0" fontId="0" fillId="0" borderId="0" xfId="0" applyFont="1" applyBorder="1" applyAlignment="1">
      <alignment horizontal="right" vertical="center" wrapText="1"/>
    </xf>
    <xf numFmtId="10" fontId="10" fillId="14" borderId="18" xfId="0" applyNumberFormat="1" applyFont="1" applyFill="1" applyBorder="1" applyAlignment="1">
      <alignment horizontal="left" vertical="center" indent="1"/>
    </xf>
    <xf numFmtId="0" fontId="10" fillId="10" borderId="18" xfId="0" applyFont="1" applyFill="1" applyBorder="1"/>
    <xf numFmtId="0" fontId="10" fillId="0" borderId="18" xfId="0" applyFont="1" applyFill="1" applyBorder="1" applyAlignment="1">
      <alignment vertical="center" wrapText="1"/>
    </xf>
    <xf numFmtId="2" fontId="20" fillId="5" borderId="5" xfId="0" applyNumberFormat="1" applyFont="1" applyFill="1" applyBorder="1"/>
    <xf numFmtId="10" fontId="0" fillId="0" borderId="20" xfId="0" applyNumberFormat="1" applyBorder="1" applyAlignment="1">
      <alignment horizontal="left" vertical="center" indent="1"/>
    </xf>
    <xf numFmtId="166" fontId="0" fillId="0" borderId="20" xfId="0" applyNumberFormat="1" applyBorder="1"/>
    <xf numFmtId="10" fontId="0" fillId="0" borderId="2" xfId="0" applyNumberFormat="1" applyFill="1" applyBorder="1" applyAlignment="1">
      <alignment horizontal="left" vertical="center" indent="1"/>
    </xf>
    <xf numFmtId="166" fontId="0" fillId="0" borderId="2" xfId="0" applyNumberFormat="1" applyBorder="1"/>
    <xf numFmtId="0" fontId="0" fillId="0" borderId="48" xfId="0" applyBorder="1"/>
    <xf numFmtId="0" fontId="0" fillId="2" borderId="49" xfId="0" applyFill="1" applyBorder="1"/>
    <xf numFmtId="1" fontId="10" fillId="5" borderId="5" xfId="0" applyNumberFormat="1" applyFont="1" applyFill="1" applyBorder="1"/>
    <xf numFmtId="0" fontId="10"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18" xfId="0" applyBorder="1" applyAlignment="1">
      <alignment horizontal="right"/>
    </xf>
    <xf numFmtId="0" fontId="10" fillId="0" borderId="0" xfId="0" applyFont="1"/>
    <xf numFmtId="10" fontId="0" fillId="0" borderId="0" xfId="0" applyNumberFormat="1" applyAlignment="1">
      <alignment horizontal="center"/>
    </xf>
    <xf numFmtId="10" fontId="0" fillId="0" borderId="0" xfId="0" applyNumberFormat="1" applyAlignment="1">
      <alignment horizontal="center" vertical="center"/>
    </xf>
    <xf numFmtId="0" fontId="0" fillId="0" borderId="0" xfId="0" applyBorder="1" applyAlignment="1">
      <alignment wrapText="1"/>
    </xf>
    <xf numFmtId="0" fontId="0" fillId="3" borderId="0" xfId="0" applyFill="1" applyBorder="1"/>
    <xf numFmtId="0" fontId="0" fillId="3" borderId="7" xfId="0" applyFill="1" applyBorder="1"/>
    <xf numFmtId="0" fontId="0" fillId="3" borderId="2" xfId="0" applyFill="1" applyBorder="1"/>
    <xf numFmtId="2" fontId="10" fillId="12" borderId="5" xfId="0" applyNumberFormat="1" applyFont="1" applyFill="1" applyBorder="1"/>
    <xf numFmtId="2" fontId="10" fillId="12" borderId="8" xfId="0" applyNumberFormat="1" applyFont="1" applyFill="1" applyBorder="1"/>
    <xf numFmtId="2" fontId="10" fillId="14" borderId="5" xfId="0" applyNumberFormat="1" applyFont="1" applyFill="1" applyBorder="1"/>
    <xf numFmtId="2" fontId="10" fillId="14" borderId="8" xfId="0" applyNumberFormat="1" applyFont="1" applyFill="1" applyBorder="1"/>
    <xf numFmtId="2" fontId="10" fillId="16" borderId="3" xfId="0" applyNumberFormat="1" applyFont="1" applyFill="1" applyBorder="1"/>
    <xf numFmtId="2" fontId="10" fillId="16" borderId="5" xfId="0" applyNumberFormat="1" applyFont="1" applyFill="1" applyBorder="1"/>
    <xf numFmtId="2" fontId="10" fillId="16" borderId="8" xfId="0" applyNumberFormat="1" applyFont="1" applyFill="1" applyBorder="1"/>
    <xf numFmtId="0" fontId="0" fillId="2" borderId="3" xfId="0" applyNumberFormat="1" applyFill="1" applyBorder="1"/>
    <xf numFmtId="0" fontId="0" fillId="2" borderId="11" xfId="0" applyNumberFormat="1" applyFill="1" applyBorder="1"/>
    <xf numFmtId="2" fontId="0" fillId="2" borderId="18" xfId="0" applyNumberFormat="1" applyFont="1" applyFill="1" applyBorder="1" applyAlignment="1">
      <alignment horizontal="right" vertical="center"/>
    </xf>
    <xf numFmtId="2" fontId="10" fillId="2" borderId="18" xfId="0" applyNumberFormat="1" applyFont="1" applyFill="1" applyBorder="1" applyAlignment="1">
      <alignment horizontal="right" vertical="center"/>
    </xf>
    <xf numFmtId="0" fontId="33" fillId="18" borderId="50" xfId="0" applyFont="1" applyFill="1" applyBorder="1" applyAlignment="1">
      <alignment horizontal="left" vertical="center" indent="5"/>
    </xf>
    <xf numFmtId="0" fontId="0" fillId="0" borderId="0" xfId="0" applyFill="1" applyAlignment="1">
      <alignment wrapText="1"/>
    </xf>
    <xf numFmtId="0" fontId="0" fillId="0" borderId="0" xfId="0" applyFill="1" applyBorder="1" applyAlignment="1">
      <alignment wrapText="1"/>
    </xf>
    <xf numFmtId="0" fontId="5" fillId="0" borderId="0" xfId="0" applyFont="1" applyFill="1" applyBorder="1" applyAlignment="1">
      <alignment wrapText="1"/>
    </xf>
    <xf numFmtId="0" fontId="5" fillId="0" borderId="0" xfId="0" applyFont="1" applyFill="1" applyBorder="1" applyAlignment="1">
      <alignment horizontal="right" wrapText="1"/>
    </xf>
    <xf numFmtId="0" fontId="0" fillId="2" borderId="18" xfId="0" applyFill="1" applyBorder="1"/>
    <xf numFmtId="0" fontId="17" fillId="0" borderId="0" xfId="0" applyFont="1" applyFill="1" applyBorder="1" applyAlignment="1">
      <alignment horizontal="center"/>
    </xf>
    <xf numFmtId="0" fontId="13" fillId="0" borderId="0" xfId="0" applyFont="1" applyFill="1" applyBorder="1" applyAlignment="1">
      <alignment wrapText="1"/>
    </xf>
    <xf numFmtId="165" fontId="0" fillId="0" borderId="0" xfId="0" applyNumberFormat="1" applyFill="1" applyBorder="1"/>
    <xf numFmtId="0" fontId="0" fillId="0" borderId="0" xfId="0" applyNumberFormat="1" applyFill="1" applyBorder="1"/>
    <xf numFmtId="0" fontId="10" fillId="0" borderId="0" xfId="0" applyNumberFormat="1" applyFont="1" applyFill="1" applyBorder="1"/>
    <xf numFmtId="0" fontId="21" fillId="0" borderId="0" xfId="0" applyFont="1" applyFill="1" applyBorder="1" applyAlignment="1">
      <alignment wrapText="1"/>
    </xf>
    <xf numFmtId="0" fontId="17" fillId="0" borderId="0" xfId="0" applyFont="1" applyFill="1" applyBorder="1" applyAlignment="1"/>
    <xf numFmtId="0" fontId="26" fillId="0" borderId="0" xfId="0" applyFont="1" applyFill="1" applyBorder="1" applyAlignment="1"/>
    <xf numFmtId="0" fontId="5" fillId="0" borderId="0" xfId="0" applyFont="1" applyFill="1" applyBorder="1"/>
    <xf numFmtId="0" fontId="0" fillId="2" borderId="18" xfId="0" applyFont="1" applyFill="1" applyBorder="1" applyAlignment="1">
      <alignment wrapText="1"/>
    </xf>
    <xf numFmtId="0" fontId="0" fillId="2" borderId="18" xfId="0" applyFill="1" applyBorder="1" applyAlignment="1">
      <alignment wrapText="1"/>
    </xf>
    <xf numFmtId="0" fontId="11" fillId="0" borderId="0" xfId="0" applyFont="1" applyFill="1" applyBorder="1"/>
    <xf numFmtId="0" fontId="9" fillId="2" borderId="18" xfId="0" applyFont="1" applyFill="1" applyBorder="1" applyAlignment="1">
      <alignment wrapText="1"/>
    </xf>
    <xf numFmtId="0" fontId="9" fillId="2" borderId="18" xfId="0" applyFont="1" applyFill="1" applyBorder="1"/>
    <xf numFmtId="167" fontId="10" fillId="0" borderId="0" xfId="0" applyNumberFormat="1" applyFont="1" applyFill="1" applyBorder="1"/>
    <xf numFmtId="0" fontId="32" fillId="0" borderId="0" xfId="0" applyFont="1" applyFill="1" applyBorder="1"/>
    <xf numFmtId="0" fontId="0" fillId="0" borderId="0" xfId="0" applyFont="1" applyFill="1" applyBorder="1"/>
    <xf numFmtId="0" fontId="0" fillId="2" borderId="18" xfId="0" applyFont="1" applyFill="1" applyBorder="1"/>
    <xf numFmtId="0" fontId="5" fillId="0" borderId="0" xfId="0" applyFont="1" applyFill="1" applyBorder="1" applyAlignment="1">
      <alignment horizontal="right" vertical="center" wrapText="1"/>
    </xf>
    <xf numFmtId="0" fontId="0" fillId="0" borderId="0" xfId="0" applyFill="1" applyBorder="1" applyAlignment="1">
      <alignment horizontal="right" vertical="center"/>
    </xf>
    <xf numFmtId="2" fontId="10" fillId="0" borderId="0" xfId="0" applyNumberFormat="1" applyFont="1" applyFill="1" applyBorder="1" applyAlignment="1">
      <alignment horizontal="right" vertical="center"/>
    </xf>
    <xf numFmtId="0" fontId="0" fillId="20" borderId="18" xfId="0" applyFont="1" applyFill="1" applyBorder="1"/>
    <xf numFmtId="0" fontId="0" fillId="20" borderId="18" xfId="0" applyFill="1" applyBorder="1"/>
    <xf numFmtId="0" fontId="9" fillId="20" borderId="18" xfId="0" applyFont="1" applyFill="1" applyBorder="1"/>
    <xf numFmtId="0" fontId="0" fillId="7" borderId="18" xfId="0" applyFill="1" applyBorder="1" applyProtection="1">
      <protection locked="0"/>
    </xf>
    <xf numFmtId="0" fontId="9" fillId="7" borderId="18" xfId="0" applyNumberFormat="1" applyFont="1" applyFill="1" applyBorder="1" applyProtection="1">
      <protection locked="0"/>
    </xf>
    <xf numFmtId="0" fontId="0" fillId="7" borderId="18" xfId="0" applyNumberFormat="1" applyFill="1" applyBorder="1" applyProtection="1">
      <protection locked="0"/>
    </xf>
    <xf numFmtId="0" fontId="0" fillId="7" borderId="18" xfId="0" applyNumberFormat="1" applyFont="1" applyFill="1" applyBorder="1" applyProtection="1">
      <protection locked="0"/>
    </xf>
    <xf numFmtId="0" fontId="0" fillId="7" borderId="18" xfId="0" quotePrefix="1" applyNumberFormat="1" applyFill="1" applyBorder="1" applyProtection="1">
      <protection locked="0"/>
    </xf>
    <xf numFmtId="0" fontId="26" fillId="9" borderId="0" xfId="0" applyFont="1" applyFill="1" applyBorder="1" applyAlignment="1">
      <alignment horizontal="center"/>
    </xf>
    <xf numFmtId="2" fontId="0" fillId="12" borderId="5" xfId="0" applyNumberFormat="1" applyFill="1" applyBorder="1"/>
    <xf numFmtId="2" fontId="0" fillId="12" borderId="8" xfId="0" applyNumberFormat="1" applyFill="1" applyBorder="1"/>
    <xf numFmtId="0" fontId="0" fillId="21" borderId="1" xfId="0" applyFill="1" applyBorder="1"/>
    <xf numFmtId="0" fontId="0" fillId="21" borderId="2" xfId="0" applyFill="1" applyBorder="1"/>
    <xf numFmtId="165" fontId="10" fillId="21" borderId="3" xfId="0" applyNumberFormat="1" applyFont="1" applyFill="1" applyBorder="1"/>
    <xf numFmtId="0" fontId="0" fillId="21" borderId="4" xfId="0" applyFill="1" applyBorder="1"/>
    <xf numFmtId="0" fontId="0" fillId="21" borderId="0" xfId="0" applyFill="1"/>
    <xf numFmtId="165" fontId="10" fillId="21" borderId="5" xfId="0" applyNumberFormat="1" applyFont="1" applyFill="1" applyBorder="1"/>
    <xf numFmtId="0" fontId="0" fillId="21" borderId="6" xfId="0" applyFill="1" applyBorder="1"/>
    <xf numFmtId="0" fontId="0" fillId="21" borderId="7" xfId="0" applyFill="1" applyBorder="1"/>
    <xf numFmtId="165" fontId="10" fillId="21" borderId="8" xfId="0" applyNumberFormat="1" applyFont="1" applyFill="1" applyBorder="1"/>
    <xf numFmtId="0" fontId="0" fillId="5" borderId="0" xfId="0" applyFill="1" applyBorder="1" applyAlignment="1">
      <alignment vertical="center" wrapText="1"/>
    </xf>
    <xf numFmtId="0" fontId="0" fillId="5" borderId="5" xfId="0" applyFill="1" applyBorder="1" applyAlignment="1">
      <alignment vertical="center" wrapText="1"/>
    </xf>
    <xf numFmtId="0" fontId="0" fillId="5" borderId="54" xfId="0" applyFill="1" applyBorder="1"/>
    <xf numFmtId="0" fontId="0" fillId="2" borderId="14" xfId="0" applyFill="1" applyBorder="1" applyAlignment="1">
      <alignment wrapText="1"/>
    </xf>
    <xf numFmtId="0" fontId="0" fillId="2" borderId="13" xfId="0" applyFill="1" applyBorder="1" applyAlignment="1">
      <alignment wrapText="1"/>
    </xf>
    <xf numFmtId="0" fontId="0" fillId="9" borderId="0" xfId="0" applyFill="1"/>
    <xf numFmtId="0" fontId="0" fillId="0" borderId="14" xfId="0" applyFont="1" applyFill="1" applyBorder="1" applyAlignment="1">
      <alignment horizontal="left" vertical="center" wrapText="1"/>
    </xf>
    <xf numFmtId="0" fontId="0" fillId="0" borderId="0" xfId="0" applyFont="1"/>
    <xf numFmtId="0" fontId="0" fillId="0" borderId="3" xfId="0" applyFont="1" applyFill="1" applyBorder="1" applyAlignment="1">
      <alignment horizontal="left" vertical="center" wrapText="1"/>
    </xf>
    <xf numFmtId="0" fontId="0" fillId="0" borderId="55" xfId="0" applyBorder="1"/>
    <xf numFmtId="0" fontId="0" fillId="0" borderId="56" xfId="0" applyBorder="1"/>
    <xf numFmtId="0" fontId="0" fillId="0" borderId="18" xfId="0" applyFont="1" applyBorder="1"/>
    <xf numFmtId="0" fontId="36" fillId="2" borderId="51" xfId="0" applyFont="1" applyFill="1" applyBorder="1" applyAlignment="1">
      <alignment horizontal="center" vertical="center" wrapText="1"/>
    </xf>
    <xf numFmtId="0" fontId="37" fillId="2" borderId="52" xfId="0" applyFont="1" applyFill="1" applyBorder="1" applyAlignment="1">
      <alignment horizontal="center" vertical="center" wrapText="1"/>
    </xf>
    <xf numFmtId="0" fontId="37" fillId="2" borderId="18" xfId="0" applyFont="1" applyFill="1" applyBorder="1" applyAlignment="1">
      <alignment horizontal="left" vertical="center" wrapText="1" indent="5"/>
    </xf>
    <xf numFmtId="0" fontId="37" fillId="2" borderId="13" xfId="0" applyFont="1" applyFill="1" applyBorder="1" applyAlignment="1">
      <alignment horizontal="left" vertical="center" wrapText="1" indent="5"/>
    </xf>
    <xf numFmtId="0" fontId="37" fillId="2" borderId="44" xfId="0" applyFont="1" applyFill="1" applyBorder="1" applyAlignment="1">
      <alignment horizontal="left" vertical="center" wrapText="1" indent="5"/>
    </xf>
    <xf numFmtId="0" fontId="37" fillId="2" borderId="14" xfId="0" applyFont="1" applyFill="1" applyBorder="1" applyAlignment="1">
      <alignment horizontal="left" vertical="center" wrapText="1" indent="5"/>
    </xf>
    <xf numFmtId="0" fontId="28" fillId="17" borderId="51" xfId="0" applyFont="1" applyFill="1" applyBorder="1" applyAlignment="1">
      <alignment horizontal="center"/>
    </xf>
    <xf numFmtId="0" fontId="0" fillId="17" borderId="53" xfId="0" applyFill="1" applyBorder="1" applyAlignment="1">
      <alignment horizontal="center"/>
    </xf>
    <xf numFmtId="0" fontId="0" fillId="17" borderId="52" xfId="0" applyFill="1" applyBorder="1" applyAlignment="1">
      <alignment horizontal="center"/>
    </xf>
    <xf numFmtId="0" fontId="0" fillId="2" borderId="18" xfId="0" applyFill="1" applyBorder="1" applyAlignment="1"/>
    <xf numFmtId="0" fontId="31" fillId="17" borderId="51" xfId="0" applyFont="1" applyFill="1" applyBorder="1" applyAlignment="1">
      <alignment horizontal="center" wrapText="1"/>
    </xf>
    <xf numFmtId="0" fontId="31" fillId="17" borderId="53" xfId="0" applyFont="1" applyFill="1" applyBorder="1" applyAlignment="1">
      <alignment horizontal="center" wrapText="1"/>
    </xf>
    <xf numFmtId="0" fontId="31" fillId="17" borderId="52" xfId="0" applyFont="1" applyFill="1" applyBorder="1" applyAlignment="1">
      <alignment horizontal="center" wrapText="1"/>
    </xf>
    <xf numFmtId="0" fontId="31" fillId="17" borderId="51" xfId="0" applyFont="1" applyFill="1" applyBorder="1" applyAlignment="1">
      <alignment horizontal="center"/>
    </xf>
    <xf numFmtId="0" fontId="31" fillId="17" borderId="53" xfId="0" applyFont="1" applyFill="1" applyBorder="1" applyAlignment="1">
      <alignment horizontal="center"/>
    </xf>
    <xf numFmtId="0" fontId="31" fillId="17" borderId="52" xfId="0" applyFont="1" applyFill="1" applyBorder="1" applyAlignment="1">
      <alignment horizontal="center"/>
    </xf>
    <xf numFmtId="0" fontId="40" fillId="0" borderId="0" xfId="0" applyFont="1" applyFill="1" applyBorder="1" applyAlignment="1">
      <alignment horizontal="left" vertical="center" wrapText="1"/>
    </xf>
    <xf numFmtId="0" fontId="34" fillId="2" borderId="30" xfId="0" applyFont="1" applyFill="1" applyBorder="1" applyAlignment="1">
      <alignment horizontal="center" vertical="center" wrapText="1"/>
    </xf>
    <xf numFmtId="0" fontId="35" fillId="2" borderId="31" xfId="0" applyFont="1" applyFill="1" applyBorder="1" applyAlignment="1">
      <alignment horizontal="center" vertical="center" wrapText="1"/>
    </xf>
    <xf numFmtId="0" fontId="35" fillId="2" borderId="32" xfId="0" applyFont="1" applyFill="1" applyBorder="1" applyAlignment="1">
      <alignment horizontal="center" vertical="center" wrapText="1"/>
    </xf>
    <xf numFmtId="0" fontId="32" fillId="20" borderId="33" xfId="0" applyFont="1" applyFill="1" applyBorder="1" applyAlignment="1">
      <alignment horizontal="center" vertical="center"/>
    </xf>
    <xf numFmtId="0" fontId="20" fillId="20" borderId="0" xfId="0" applyFont="1" applyFill="1" applyBorder="1" applyAlignment="1">
      <alignment horizontal="center" vertical="center"/>
    </xf>
    <xf numFmtId="0" fontId="20" fillId="20" borderId="34" xfId="0" applyFont="1" applyFill="1" applyBorder="1" applyAlignment="1">
      <alignment horizontal="center" vertical="center"/>
    </xf>
    <xf numFmtId="0" fontId="38" fillId="2" borderId="35" xfId="0" applyFont="1" applyFill="1" applyBorder="1" applyAlignment="1">
      <alignment horizontal="center" vertical="center" wrapText="1"/>
    </xf>
    <xf numFmtId="0" fontId="39" fillId="2" borderId="36"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0" fillId="2" borderId="13" xfId="0" applyFill="1" applyBorder="1" applyAlignment="1">
      <alignment wrapText="1"/>
    </xf>
    <xf numFmtId="0" fontId="0" fillId="0" borderId="14" xfId="0" applyBorder="1" applyAlignment="1">
      <alignment wrapText="1"/>
    </xf>
    <xf numFmtId="0" fontId="28" fillId="19" borderId="51" xfId="0" applyFont="1" applyFill="1" applyBorder="1" applyAlignment="1">
      <alignment horizontal="center"/>
    </xf>
    <xf numFmtId="0" fontId="0" fillId="19" borderId="53" xfId="0" applyFill="1" applyBorder="1" applyAlignment="1">
      <alignment horizontal="center"/>
    </xf>
    <xf numFmtId="0" fontId="0" fillId="19" borderId="52" xfId="0" applyFill="1" applyBorder="1" applyAlignment="1">
      <alignment horizontal="center"/>
    </xf>
    <xf numFmtId="0" fontId="10" fillId="5" borderId="4" xfId="0" applyFont="1" applyFill="1" applyBorder="1" applyAlignment="1">
      <alignment horizontal="left" vertical="center"/>
    </xf>
    <xf numFmtId="0" fontId="10" fillId="5" borderId="0" xfId="0" applyFont="1" applyFill="1" applyBorder="1" applyAlignment="1">
      <alignment horizontal="left" vertical="center"/>
    </xf>
    <xf numFmtId="0" fontId="10" fillId="5" borderId="5" xfId="0" applyFont="1" applyFill="1" applyBorder="1" applyAlignment="1">
      <alignment horizontal="left" vertical="center"/>
    </xf>
    <xf numFmtId="0" fontId="10" fillId="5" borderId="4" xfId="0" applyFont="1" applyFill="1" applyBorder="1" applyAlignment="1">
      <alignment horizontal="left" vertical="top"/>
    </xf>
    <xf numFmtId="0" fontId="10" fillId="5" borderId="0" xfId="0" applyFont="1" applyFill="1" applyBorder="1" applyAlignment="1">
      <alignment horizontal="left" vertical="top"/>
    </xf>
    <xf numFmtId="0" fontId="10" fillId="5" borderId="5" xfId="0" applyFont="1" applyFill="1" applyBorder="1" applyAlignment="1">
      <alignment horizontal="left" vertical="top"/>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0" fillId="5" borderId="5" xfId="0" applyFill="1" applyBorder="1" applyAlignment="1">
      <alignment horizontal="left" vertical="center" wrapText="1"/>
    </xf>
    <xf numFmtId="0" fontId="28" fillId="11" borderId="0" xfId="0" applyFont="1" applyFill="1" applyBorder="1" applyAlignment="1">
      <alignment horizontal="center"/>
    </xf>
    <xf numFmtId="0" fontId="18" fillId="4" borderId="0" xfId="0" applyFont="1" applyFill="1" applyBorder="1" applyAlignment="1">
      <alignment horizontal="center" wrapText="1"/>
    </xf>
    <xf numFmtId="0" fontId="13" fillId="4" borderId="0" xfId="0" applyFont="1" applyFill="1" applyBorder="1" applyAlignment="1">
      <alignment horizontal="center" wrapText="1"/>
    </xf>
    <xf numFmtId="0" fontId="21" fillId="6" borderId="0" xfId="0" applyFont="1" applyFill="1" applyBorder="1" applyAlignment="1">
      <alignment horizontal="center" wrapText="1"/>
    </xf>
    <xf numFmtId="0" fontId="17" fillId="3" borderId="0" xfId="0" applyFont="1" applyFill="1" applyBorder="1" applyAlignment="1">
      <alignment horizontal="center"/>
    </xf>
    <xf numFmtId="0" fontId="10" fillId="14" borderId="18" xfId="0" applyFont="1" applyFill="1" applyBorder="1" applyAlignment="1">
      <alignment horizontal="center"/>
    </xf>
    <xf numFmtId="0" fontId="10" fillId="15" borderId="18" xfId="0" applyFont="1" applyFill="1" applyBorder="1" applyAlignment="1">
      <alignment horizontal="center" vertical="center" wrapText="1"/>
    </xf>
  </cellXfs>
  <cellStyles count="1">
    <cellStyle name="Normal" xfId="0" builtinId="0"/>
  </cellStyles>
  <dxfs count="21">
    <dxf>
      <numFmt numFmtId="164" formatCode="0.000%"/>
      <fill>
        <patternFill patternType="none">
          <fgColor indexed="64"/>
          <bgColor auto="1"/>
        </patternFill>
      </fill>
      <border diagonalUp="0" diagonalDown="0" outline="0">
        <left style="thin">
          <color indexed="64"/>
        </left>
        <right/>
        <top style="thin">
          <color indexed="64"/>
        </top>
        <bottom style="thin">
          <color indexed="64"/>
        </bottom>
      </border>
    </dxf>
    <dxf>
      <numFmt numFmtId="164"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numFmt numFmtId="164"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auto="1"/>
        </right>
        <top style="thin">
          <color indexed="64"/>
        </top>
        <bottom style="thin">
          <color auto="1"/>
        </bottom>
      </border>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DE0000"/>
      <color rgb="FF568838"/>
      <color rgb="FFFF8585"/>
      <color rgb="FF9FFF9F"/>
      <color rgb="FF2201E9"/>
      <color rgb="FFFFFF4F"/>
      <color rgb="FF03E71E"/>
      <color rgb="FF8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100"/>
              <a:t>Nitrogen</a:t>
            </a:r>
          </a:p>
        </c:rich>
      </c:tx>
      <c:layout>
        <c:manualLayout>
          <c:xMode val="edge"/>
          <c:yMode val="edge"/>
          <c:x val="0.45104776132241514"/>
          <c:y val="0"/>
        </c:manualLayout>
      </c:layout>
      <c:overlay val="0"/>
    </c:title>
    <c:autoTitleDeleted val="0"/>
    <c:plotArea>
      <c:layout>
        <c:manualLayout>
          <c:layoutTarget val="inner"/>
          <c:xMode val="edge"/>
          <c:yMode val="edge"/>
          <c:x val="0.2808194157187881"/>
          <c:y val="0.20281487316899535"/>
          <c:w val="0.67133215484796827"/>
          <c:h val="0.66321078754654872"/>
        </c:manualLayout>
      </c:layout>
      <c:barChart>
        <c:barDir val="bar"/>
        <c:grouping val="clustered"/>
        <c:varyColors val="0"/>
        <c:ser>
          <c:idx val="2"/>
          <c:order val="0"/>
          <c:tx>
            <c:strRef>
              <c:f>'Balance de Nutrientes'!$B$102</c:f>
              <c:strCache>
                <c:ptCount val="1"/>
                <c:pt idx="0">
                  <c:v>N Balance</c:v>
                </c:pt>
              </c:strCache>
            </c:strRef>
          </c:tx>
          <c:spPr>
            <a:ln>
              <a:solidFill>
                <a:srgbClr val="FF0000"/>
              </a:solidFill>
            </a:ln>
          </c:spPr>
          <c:invertIfNegative val="0"/>
          <c:dPt>
            <c:idx val="0"/>
            <c:invertIfNegative val="0"/>
            <c:bubble3D val="0"/>
            <c:spPr/>
            <c:extLst>
              <c:ext xmlns:c16="http://schemas.microsoft.com/office/drawing/2014/chart" uri="{C3380CC4-5D6E-409C-BE32-E72D297353CC}">
                <c16:uniqueId val="{00000001-11EB-48F7-B94F-EFA07C31A906}"/>
              </c:ext>
            </c:extLst>
          </c:dPt>
          <c:val>
            <c:numRef>
              <c:f>'Balance de Nutrientes'!$D$102</c:f>
              <c:numCache>
                <c:formatCode>0.00</c:formatCode>
                <c:ptCount val="1"/>
                <c:pt idx="0">
                  <c:v>0</c:v>
                </c:pt>
              </c:numCache>
            </c:numRef>
          </c:val>
          <c:extLst>
            <c:ext xmlns:c16="http://schemas.microsoft.com/office/drawing/2014/chart" uri="{C3380CC4-5D6E-409C-BE32-E72D297353CC}">
              <c16:uniqueId val="{00000001-0F66-4E3D-B561-BBFA32F66A89}"/>
            </c:ext>
          </c:extLst>
        </c:ser>
        <c:ser>
          <c:idx val="1"/>
          <c:order val="1"/>
          <c:tx>
            <c:strRef>
              <c:f>'Balance de Nutrientes oculto'!$Y$21</c:f>
              <c:strCache>
                <c:ptCount val="1"/>
                <c:pt idx="0">
                  <c:v>SALIDAS TOTALES </c:v>
                </c:pt>
              </c:strCache>
            </c:strRef>
          </c:tx>
          <c:spPr>
            <a:solidFill>
              <a:schemeClr val="accent2">
                <a:lumMod val="75000"/>
              </a:schemeClr>
            </a:solidFill>
          </c:spPr>
          <c:invertIfNegative val="0"/>
          <c:val>
            <c:numRef>
              <c:f>'Balance de Nutrientes oculto'!$AB$28</c:f>
              <c:numCache>
                <c:formatCode>0.00</c:formatCode>
                <c:ptCount val="1"/>
                <c:pt idx="0">
                  <c:v>0</c:v>
                </c:pt>
              </c:numCache>
            </c:numRef>
          </c:val>
          <c:extLst>
            <c:ext xmlns:c16="http://schemas.microsoft.com/office/drawing/2014/chart" uri="{C3380CC4-5D6E-409C-BE32-E72D297353CC}">
              <c16:uniqueId val="{00000002-F27E-4B33-95CA-CDAC4D00933F}"/>
            </c:ext>
          </c:extLst>
        </c:ser>
        <c:ser>
          <c:idx val="0"/>
          <c:order val="2"/>
          <c:tx>
            <c:strRef>
              <c:f>'Balance de Nutrientes oculto'!$Y$10</c:f>
              <c:strCache>
                <c:ptCount val="1"/>
                <c:pt idx="0">
                  <c:v>ENTRADAS TOTALES </c:v>
                </c:pt>
              </c:strCache>
            </c:strRef>
          </c:tx>
          <c:spPr>
            <a:solidFill>
              <a:schemeClr val="accent2">
                <a:lumMod val="75000"/>
              </a:schemeClr>
            </a:solidFill>
          </c:spPr>
          <c:invertIfNegative val="0"/>
          <c:dPt>
            <c:idx val="0"/>
            <c:invertIfNegative val="0"/>
            <c:bubble3D val="0"/>
            <c:spPr>
              <a:solidFill>
                <a:schemeClr val="accent6">
                  <a:lumMod val="60000"/>
                  <a:lumOff val="40000"/>
                </a:schemeClr>
              </a:solidFill>
            </c:spPr>
            <c:extLst>
              <c:ext xmlns:c16="http://schemas.microsoft.com/office/drawing/2014/chart" uri="{C3380CC4-5D6E-409C-BE32-E72D297353CC}">
                <c16:uniqueId val="{00000003-A166-49C7-B72E-E539E7ACADCF}"/>
              </c:ext>
            </c:extLst>
          </c:dPt>
          <c:cat>
            <c:strRef>
              <c:f>('Balance de Nutrientes oculto'!$Y$10,'Balance de Nutrientes oculto'!$Y$21)</c:f>
              <c:strCache>
                <c:ptCount val="2"/>
                <c:pt idx="0">
                  <c:v>ENTRADAS TOTALES </c:v>
                </c:pt>
                <c:pt idx="1">
                  <c:v>SALIDAS TOTALES </c:v>
                </c:pt>
              </c:strCache>
            </c:strRef>
          </c:cat>
          <c:val>
            <c:numRef>
              <c:f>'Balance de Nutrientes oculto'!$AB$17</c:f>
              <c:numCache>
                <c:formatCode>0.00</c:formatCode>
                <c:ptCount val="1"/>
                <c:pt idx="0">
                  <c:v>0</c:v>
                </c:pt>
              </c:numCache>
            </c:numRef>
          </c:val>
          <c:extLst>
            <c:ext xmlns:c16="http://schemas.microsoft.com/office/drawing/2014/chart" uri="{C3380CC4-5D6E-409C-BE32-E72D297353CC}">
              <c16:uniqueId val="{00000001-F27E-4B33-95CA-CDAC4D00933F}"/>
            </c:ext>
          </c:extLst>
        </c:ser>
        <c:dLbls>
          <c:showLegendKey val="0"/>
          <c:showVal val="0"/>
          <c:showCatName val="0"/>
          <c:showSerName val="0"/>
          <c:showPercent val="0"/>
          <c:showBubbleSize val="0"/>
        </c:dLbls>
        <c:gapWidth val="182"/>
        <c:axId val="1088184464"/>
        <c:axId val="1088186128"/>
      </c:barChart>
      <c:catAx>
        <c:axId val="1088184464"/>
        <c:scaling>
          <c:orientation val="minMax"/>
        </c:scaling>
        <c:delete val="1"/>
        <c:axPos val="l"/>
        <c:numFmt formatCode="General" sourceLinked="1"/>
        <c:majorTickMark val="none"/>
        <c:minorTickMark val="none"/>
        <c:tickLblPos val="nextTo"/>
        <c:crossAx val="1088186128"/>
        <c:crosses val="autoZero"/>
        <c:auto val="1"/>
        <c:lblAlgn val="ctr"/>
        <c:lblOffset val="100"/>
        <c:noMultiLvlLbl val="0"/>
      </c:catAx>
      <c:valAx>
        <c:axId val="1088186128"/>
        <c:scaling>
          <c:orientation val="minMax"/>
        </c:scaling>
        <c:delete val="1"/>
        <c:axPos val="b"/>
        <c:numFmt formatCode="0.00" sourceLinked="1"/>
        <c:majorTickMark val="none"/>
        <c:minorTickMark val="none"/>
        <c:tickLblPos val="nextTo"/>
        <c:crossAx val="1088184464"/>
        <c:crosses val="autoZero"/>
        <c:crossBetween val="between"/>
        <c:majorUnit val="25"/>
      </c:valAx>
      <c:spPr>
        <a:ln>
          <a:solidFill>
            <a:schemeClr val="tx1">
              <a:lumMod val="65000"/>
              <a:lumOff val="35000"/>
            </a:schemeClr>
          </a:solidFill>
        </a:ln>
      </c:spPr>
    </c:plotArea>
    <c:plotVisOnly val="1"/>
    <c:dispBlanksAs val="gap"/>
    <c:showDLblsOverMax val="0"/>
    <c:extLst/>
  </c:chart>
  <c:txPr>
    <a:bodyPr/>
    <a:lstStyle/>
    <a:p>
      <a:pPr>
        <a:defRPr/>
      </a:pPr>
      <a:endParaRPr lang="es-E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100"/>
              <a:t>Phosphorus</a:t>
            </a:r>
          </a:p>
        </c:rich>
      </c:tx>
      <c:layout>
        <c:manualLayout>
          <c:xMode val="edge"/>
          <c:yMode val="edge"/>
          <c:x val="0.40264892441887362"/>
          <c:y val="1.1473443044744621E-2"/>
        </c:manualLayout>
      </c:layout>
      <c:overlay val="0"/>
    </c:title>
    <c:autoTitleDeleted val="0"/>
    <c:plotArea>
      <c:layout>
        <c:manualLayout>
          <c:layoutTarget val="inner"/>
          <c:xMode val="edge"/>
          <c:yMode val="edge"/>
          <c:x val="0.2808194157187881"/>
          <c:y val="0.20281487316899535"/>
          <c:w val="0.67133215484796827"/>
          <c:h val="0.66321078754654872"/>
        </c:manualLayout>
      </c:layout>
      <c:barChart>
        <c:barDir val="bar"/>
        <c:grouping val="clustered"/>
        <c:varyColors val="0"/>
        <c:ser>
          <c:idx val="2"/>
          <c:order val="0"/>
          <c:tx>
            <c:strRef>
              <c:f>'Balance de Nutrientes'!$B$103</c:f>
              <c:strCache>
                <c:ptCount val="1"/>
                <c:pt idx="0">
                  <c:v>P Balance</c:v>
                </c:pt>
              </c:strCache>
            </c:strRef>
          </c:tx>
          <c:invertIfNegative val="0"/>
          <c:val>
            <c:numRef>
              <c:f>'Balance de Nutrientes'!$D$103</c:f>
              <c:numCache>
                <c:formatCode>0.00</c:formatCode>
                <c:ptCount val="1"/>
                <c:pt idx="0">
                  <c:v>0</c:v>
                </c:pt>
              </c:numCache>
            </c:numRef>
          </c:val>
          <c:extLst>
            <c:ext xmlns:c16="http://schemas.microsoft.com/office/drawing/2014/chart" uri="{C3380CC4-5D6E-409C-BE32-E72D297353CC}">
              <c16:uniqueId val="{00000001-1CA8-4F83-BB8B-7BB8D97C310E}"/>
            </c:ext>
          </c:extLst>
        </c:ser>
        <c:ser>
          <c:idx val="1"/>
          <c:order val="1"/>
          <c:tx>
            <c:strRef>
              <c:f>'Balance de Nutrientes oculto'!$Y$21</c:f>
              <c:strCache>
                <c:ptCount val="1"/>
                <c:pt idx="0">
                  <c:v>SALIDAS TOTALES </c:v>
                </c:pt>
              </c:strCache>
            </c:strRef>
          </c:tx>
          <c:spPr>
            <a:solidFill>
              <a:schemeClr val="accent2">
                <a:lumMod val="75000"/>
              </a:schemeClr>
            </a:solidFill>
          </c:spPr>
          <c:invertIfNegative val="0"/>
          <c:val>
            <c:numRef>
              <c:f>'Balance de Nutrientes oculto'!$AB$29</c:f>
              <c:numCache>
                <c:formatCode>0.00</c:formatCode>
                <c:ptCount val="1"/>
                <c:pt idx="0">
                  <c:v>0</c:v>
                </c:pt>
              </c:numCache>
            </c:numRef>
          </c:val>
          <c:extLst>
            <c:ext xmlns:c16="http://schemas.microsoft.com/office/drawing/2014/chart" uri="{C3380CC4-5D6E-409C-BE32-E72D297353CC}">
              <c16:uniqueId val="{00000001-1D57-4105-BAF4-B6CC4CB92154}"/>
            </c:ext>
          </c:extLst>
        </c:ser>
        <c:ser>
          <c:idx val="0"/>
          <c:order val="2"/>
          <c:tx>
            <c:strRef>
              <c:f>'Balance de Nutrientes oculto'!$Y$10</c:f>
              <c:strCache>
                <c:ptCount val="1"/>
                <c:pt idx="0">
                  <c:v>ENTRADAS TOTALES </c:v>
                </c:pt>
              </c:strCache>
            </c:strRef>
          </c:tx>
          <c:spPr>
            <a:solidFill>
              <a:schemeClr val="accent6">
                <a:lumMod val="60000"/>
                <a:lumOff val="40000"/>
              </a:schemeClr>
            </a:solidFill>
          </c:spPr>
          <c:invertIfNegative val="0"/>
          <c:cat>
            <c:strRef>
              <c:f>('Balance de Nutrientes oculto'!$Y$10,'Balance de Nutrientes oculto'!$Y$21)</c:f>
              <c:strCache>
                <c:ptCount val="2"/>
                <c:pt idx="0">
                  <c:v>ENTRADAS TOTALES </c:v>
                </c:pt>
                <c:pt idx="1">
                  <c:v>SALIDAS TOTALES </c:v>
                </c:pt>
              </c:strCache>
            </c:strRef>
          </c:cat>
          <c:val>
            <c:numRef>
              <c:f>'Balance de Nutrientes oculto'!$AB$18</c:f>
              <c:numCache>
                <c:formatCode>0.00</c:formatCode>
                <c:ptCount val="1"/>
                <c:pt idx="0">
                  <c:v>0</c:v>
                </c:pt>
              </c:numCache>
            </c:numRef>
          </c:val>
          <c:extLst>
            <c:ext xmlns:c16="http://schemas.microsoft.com/office/drawing/2014/chart" uri="{C3380CC4-5D6E-409C-BE32-E72D297353CC}">
              <c16:uniqueId val="{00000000-1D57-4105-BAF4-B6CC4CB92154}"/>
            </c:ext>
          </c:extLst>
        </c:ser>
        <c:dLbls>
          <c:showLegendKey val="0"/>
          <c:showVal val="0"/>
          <c:showCatName val="0"/>
          <c:showSerName val="0"/>
          <c:showPercent val="0"/>
          <c:showBubbleSize val="0"/>
        </c:dLbls>
        <c:gapWidth val="182"/>
        <c:axId val="1088184464"/>
        <c:axId val="1088186128"/>
      </c:barChart>
      <c:catAx>
        <c:axId val="1088184464"/>
        <c:scaling>
          <c:orientation val="minMax"/>
        </c:scaling>
        <c:delete val="1"/>
        <c:axPos val="l"/>
        <c:numFmt formatCode="General" sourceLinked="1"/>
        <c:majorTickMark val="none"/>
        <c:minorTickMark val="none"/>
        <c:tickLblPos val="nextTo"/>
        <c:crossAx val="1088186128"/>
        <c:crosses val="autoZero"/>
        <c:auto val="1"/>
        <c:lblAlgn val="ctr"/>
        <c:lblOffset val="100"/>
        <c:noMultiLvlLbl val="0"/>
      </c:catAx>
      <c:valAx>
        <c:axId val="1088186128"/>
        <c:scaling>
          <c:orientation val="minMax"/>
        </c:scaling>
        <c:delete val="1"/>
        <c:axPos val="b"/>
        <c:numFmt formatCode="0.00" sourceLinked="1"/>
        <c:majorTickMark val="none"/>
        <c:minorTickMark val="none"/>
        <c:tickLblPos val="nextTo"/>
        <c:crossAx val="1088184464"/>
        <c:crosses val="autoZero"/>
        <c:crossBetween val="between"/>
        <c:majorUnit val="25"/>
      </c:valAx>
      <c:spPr>
        <a:ln>
          <a:solidFill>
            <a:schemeClr val="tx1">
              <a:lumMod val="65000"/>
              <a:lumOff val="35000"/>
            </a:schemeClr>
          </a:solidFill>
        </a:ln>
      </c:spPr>
    </c:plotArea>
    <c:plotVisOnly val="1"/>
    <c:dispBlanksAs val="gap"/>
    <c:showDLblsOverMax val="0"/>
    <c:extLst/>
  </c:chart>
  <c:txPr>
    <a:bodyPr/>
    <a:lstStyle/>
    <a:p>
      <a:pPr>
        <a:defRPr/>
      </a:pPr>
      <a:endParaRPr lang="es-E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100"/>
              <a:t>Potassium</a:t>
            </a:r>
          </a:p>
        </c:rich>
      </c:tx>
      <c:layout>
        <c:manualLayout>
          <c:xMode val="edge"/>
          <c:yMode val="edge"/>
          <c:x val="0.43030563691597429"/>
          <c:y val="0"/>
        </c:manualLayout>
      </c:layout>
      <c:overlay val="0"/>
    </c:title>
    <c:autoTitleDeleted val="0"/>
    <c:plotArea>
      <c:layout>
        <c:manualLayout>
          <c:layoutTarget val="inner"/>
          <c:xMode val="edge"/>
          <c:yMode val="edge"/>
          <c:x val="0.2808194157187881"/>
          <c:y val="0.20281487316899535"/>
          <c:w val="0.67133215484796827"/>
          <c:h val="0.66321078754654872"/>
        </c:manualLayout>
      </c:layout>
      <c:barChart>
        <c:barDir val="bar"/>
        <c:grouping val="clustered"/>
        <c:varyColors val="0"/>
        <c:ser>
          <c:idx val="2"/>
          <c:order val="0"/>
          <c:tx>
            <c:strRef>
              <c:f>'Balance de Nutrientes'!$B$104</c:f>
              <c:strCache>
                <c:ptCount val="1"/>
                <c:pt idx="0">
                  <c:v>K Balance</c:v>
                </c:pt>
              </c:strCache>
            </c:strRef>
          </c:tx>
          <c:invertIfNegative val="0"/>
          <c:val>
            <c:numRef>
              <c:f>'Balance de Nutrientes'!$D$104</c:f>
              <c:numCache>
                <c:formatCode>0.00</c:formatCode>
                <c:ptCount val="1"/>
                <c:pt idx="0">
                  <c:v>0</c:v>
                </c:pt>
              </c:numCache>
            </c:numRef>
          </c:val>
          <c:extLst>
            <c:ext xmlns:c16="http://schemas.microsoft.com/office/drawing/2014/chart" uri="{C3380CC4-5D6E-409C-BE32-E72D297353CC}">
              <c16:uniqueId val="{00000001-3AAC-419B-B94E-4A5675468645}"/>
            </c:ext>
          </c:extLst>
        </c:ser>
        <c:ser>
          <c:idx val="1"/>
          <c:order val="1"/>
          <c:tx>
            <c:strRef>
              <c:f>'Balance de Nutrientes oculto'!$Y$21</c:f>
              <c:strCache>
                <c:ptCount val="1"/>
                <c:pt idx="0">
                  <c:v>SALIDAS TOTALES </c:v>
                </c:pt>
              </c:strCache>
            </c:strRef>
          </c:tx>
          <c:spPr>
            <a:solidFill>
              <a:schemeClr val="accent2">
                <a:lumMod val="75000"/>
              </a:schemeClr>
            </a:solidFill>
          </c:spPr>
          <c:invertIfNegative val="0"/>
          <c:val>
            <c:numRef>
              <c:f>'Balance de Nutrientes oculto'!$AB$30</c:f>
              <c:numCache>
                <c:formatCode>0.00</c:formatCode>
                <c:ptCount val="1"/>
                <c:pt idx="0">
                  <c:v>0</c:v>
                </c:pt>
              </c:numCache>
            </c:numRef>
          </c:val>
          <c:extLst>
            <c:ext xmlns:c16="http://schemas.microsoft.com/office/drawing/2014/chart" uri="{C3380CC4-5D6E-409C-BE32-E72D297353CC}">
              <c16:uniqueId val="{00000001-BC86-43AD-954B-5F55C09EFCEF}"/>
            </c:ext>
          </c:extLst>
        </c:ser>
        <c:ser>
          <c:idx val="0"/>
          <c:order val="2"/>
          <c:tx>
            <c:strRef>
              <c:f>'Balance de Nutrientes oculto'!$Y$10</c:f>
              <c:strCache>
                <c:ptCount val="1"/>
                <c:pt idx="0">
                  <c:v>ENTRADAS TOTALES </c:v>
                </c:pt>
              </c:strCache>
            </c:strRef>
          </c:tx>
          <c:spPr>
            <a:solidFill>
              <a:schemeClr val="accent6">
                <a:lumMod val="60000"/>
                <a:lumOff val="40000"/>
              </a:schemeClr>
            </a:solidFill>
          </c:spPr>
          <c:invertIfNegative val="0"/>
          <c:cat>
            <c:strRef>
              <c:f>('Balance de Nutrientes oculto'!$Y$10,'Balance de Nutrientes oculto'!$Y$21)</c:f>
              <c:strCache>
                <c:ptCount val="2"/>
                <c:pt idx="0">
                  <c:v>ENTRADAS TOTALES </c:v>
                </c:pt>
                <c:pt idx="1">
                  <c:v>SALIDAS TOTALES </c:v>
                </c:pt>
              </c:strCache>
            </c:strRef>
          </c:cat>
          <c:val>
            <c:numRef>
              <c:f>'Balance de Nutrientes oculto'!$AB$19</c:f>
              <c:numCache>
                <c:formatCode>0.00</c:formatCode>
                <c:ptCount val="1"/>
                <c:pt idx="0">
                  <c:v>0</c:v>
                </c:pt>
              </c:numCache>
            </c:numRef>
          </c:val>
          <c:extLst>
            <c:ext xmlns:c16="http://schemas.microsoft.com/office/drawing/2014/chart" uri="{C3380CC4-5D6E-409C-BE32-E72D297353CC}">
              <c16:uniqueId val="{00000000-BC86-43AD-954B-5F55C09EFCEF}"/>
            </c:ext>
          </c:extLst>
        </c:ser>
        <c:dLbls>
          <c:showLegendKey val="0"/>
          <c:showVal val="0"/>
          <c:showCatName val="0"/>
          <c:showSerName val="0"/>
          <c:showPercent val="0"/>
          <c:showBubbleSize val="0"/>
        </c:dLbls>
        <c:gapWidth val="182"/>
        <c:axId val="1088184464"/>
        <c:axId val="1088186128"/>
      </c:barChart>
      <c:catAx>
        <c:axId val="1088184464"/>
        <c:scaling>
          <c:orientation val="minMax"/>
        </c:scaling>
        <c:delete val="1"/>
        <c:axPos val="l"/>
        <c:numFmt formatCode="General" sourceLinked="1"/>
        <c:majorTickMark val="none"/>
        <c:minorTickMark val="none"/>
        <c:tickLblPos val="nextTo"/>
        <c:crossAx val="1088186128"/>
        <c:crosses val="autoZero"/>
        <c:auto val="1"/>
        <c:lblAlgn val="ctr"/>
        <c:lblOffset val="100"/>
        <c:noMultiLvlLbl val="0"/>
      </c:catAx>
      <c:valAx>
        <c:axId val="1088186128"/>
        <c:scaling>
          <c:orientation val="minMax"/>
        </c:scaling>
        <c:delete val="1"/>
        <c:axPos val="b"/>
        <c:numFmt formatCode="0.00" sourceLinked="1"/>
        <c:majorTickMark val="none"/>
        <c:minorTickMark val="none"/>
        <c:tickLblPos val="nextTo"/>
        <c:crossAx val="1088184464"/>
        <c:crosses val="autoZero"/>
        <c:crossBetween val="between"/>
        <c:majorUnit val="25"/>
      </c:valAx>
      <c:spPr>
        <a:ln>
          <a:solidFill>
            <a:schemeClr val="tx1">
              <a:lumMod val="65000"/>
              <a:lumOff val="35000"/>
            </a:schemeClr>
          </a:solidFill>
        </a:ln>
      </c:spPr>
    </c:plotArea>
    <c:plotVisOnly val="1"/>
    <c:dispBlanksAs val="gap"/>
    <c:showDLblsOverMax val="0"/>
    <c:extLst/>
  </c:chart>
  <c:txPr>
    <a:bodyPr/>
    <a:lstStyle/>
    <a:p>
      <a:pPr>
        <a:defRPr/>
      </a:pPr>
      <a:endParaRPr lang="es-E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chart" Target="../charts/chart3.xml"/><Relationship Id="rId4"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80211</xdr:colOff>
      <xdr:row>7</xdr:row>
      <xdr:rowOff>72190</xdr:rowOff>
    </xdr:from>
    <xdr:to>
      <xdr:col>1</xdr:col>
      <xdr:colOff>385011</xdr:colOff>
      <xdr:row>9</xdr:row>
      <xdr:rowOff>449180</xdr:rowOff>
    </xdr:to>
    <xdr:grpSp>
      <xdr:nvGrpSpPr>
        <xdr:cNvPr id="5" name="Grupo 4">
          <a:extLst>
            <a:ext uri="{FF2B5EF4-FFF2-40B4-BE49-F238E27FC236}">
              <a16:creationId xmlns:a16="http://schemas.microsoft.com/office/drawing/2014/main" id="{78C7D82E-7FA2-461E-AD68-64CF495B48B0}"/>
            </a:ext>
          </a:extLst>
        </xdr:cNvPr>
        <xdr:cNvGrpSpPr/>
      </xdr:nvGrpSpPr>
      <xdr:grpSpPr>
        <a:xfrm>
          <a:off x="288758" y="2125579"/>
          <a:ext cx="304800" cy="1524001"/>
          <a:chOff x="826169" y="737937"/>
          <a:chExt cx="304800" cy="1387643"/>
        </a:xfrm>
      </xdr:grpSpPr>
      <xdr:sp macro="" textlink="">
        <xdr:nvSpPr>
          <xdr:cNvPr id="2" name="Rectángulo: esquinas redondeadas 1">
            <a:extLst>
              <a:ext uri="{FF2B5EF4-FFF2-40B4-BE49-F238E27FC236}">
                <a16:creationId xmlns:a16="http://schemas.microsoft.com/office/drawing/2014/main" id="{FE855A16-FC7B-480C-B310-C01680EF8F5B}"/>
              </a:ext>
            </a:extLst>
          </xdr:cNvPr>
          <xdr:cNvSpPr/>
        </xdr:nvSpPr>
        <xdr:spPr>
          <a:xfrm>
            <a:off x="826169" y="737937"/>
            <a:ext cx="304800" cy="368970"/>
          </a:xfrm>
          <a:prstGeom prst="roundRect">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a:t>1</a:t>
            </a:r>
          </a:p>
        </xdr:txBody>
      </xdr:sp>
      <xdr:sp macro="" textlink="">
        <xdr:nvSpPr>
          <xdr:cNvPr id="3" name="Rectángulo: esquinas redondeadas 2">
            <a:extLst>
              <a:ext uri="{FF2B5EF4-FFF2-40B4-BE49-F238E27FC236}">
                <a16:creationId xmlns:a16="http://schemas.microsoft.com/office/drawing/2014/main" id="{FE2CD6C3-151A-4748-B351-E66F37C7FF33}"/>
              </a:ext>
            </a:extLst>
          </xdr:cNvPr>
          <xdr:cNvSpPr/>
        </xdr:nvSpPr>
        <xdr:spPr>
          <a:xfrm>
            <a:off x="826169" y="1272695"/>
            <a:ext cx="304800" cy="368970"/>
          </a:xfrm>
          <a:prstGeom prst="roundRect">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a:t>21</a:t>
            </a:r>
          </a:p>
        </xdr:txBody>
      </xdr:sp>
      <xdr:sp macro="" textlink="">
        <xdr:nvSpPr>
          <xdr:cNvPr id="4" name="Rectángulo: esquinas redondeadas 3">
            <a:extLst>
              <a:ext uri="{FF2B5EF4-FFF2-40B4-BE49-F238E27FC236}">
                <a16:creationId xmlns:a16="http://schemas.microsoft.com/office/drawing/2014/main" id="{EAE7A39C-1ED9-4185-8AA1-A81A01CBA4F8}"/>
              </a:ext>
            </a:extLst>
          </xdr:cNvPr>
          <xdr:cNvSpPr/>
        </xdr:nvSpPr>
        <xdr:spPr>
          <a:xfrm>
            <a:off x="826169" y="1756610"/>
            <a:ext cx="304800" cy="368970"/>
          </a:xfrm>
          <a:prstGeom prst="roundRect">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a:t>3</a:t>
            </a:r>
          </a:p>
        </xdr:txBody>
      </xdr:sp>
    </xdr:grpSp>
    <xdr:clientData/>
  </xdr:twoCellAnchor>
  <xdr:twoCellAnchor>
    <xdr:from>
      <xdr:col>1</xdr:col>
      <xdr:colOff>2482513</xdr:colOff>
      <xdr:row>112</xdr:row>
      <xdr:rowOff>104274</xdr:rowOff>
    </xdr:from>
    <xdr:to>
      <xdr:col>1</xdr:col>
      <xdr:colOff>2787313</xdr:colOff>
      <xdr:row>112</xdr:row>
      <xdr:rowOff>473244</xdr:rowOff>
    </xdr:to>
    <xdr:sp macro="" textlink="">
      <xdr:nvSpPr>
        <xdr:cNvPr id="7" name="Rectángulo: esquinas redondeadas 6">
          <a:extLst>
            <a:ext uri="{FF2B5EF4-FFF2-40B4-BE49-F238E27FC236}">
              <a16:creationId xmlns:a16="http://schemas.microsoft.com/office/drawing/2014/main" id="{E5B41D61-ADBE-4159-8F24-7BB209404470}"/>
            </a:ext>
          </a:extLst>
        </xdr:cNvPr>
        <xdr:cNvSpPr/>
      </xdr:nvSpPr>
      <xdr:spPr>
        <a:xfrm>
          <a:off x="3228471" y="27680653"/>
          <a:ext cx="304800" cy="368970"/>
        </a:xfrm>
        <a:prstGeom prst="round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t"/>
        <a:lstStyle/>
        <a:p>
          <a:pPr algn="l"/>
          <a:r>
            <a:rPr lang="es-ES" sz="1600" b="1">
              <a:solidFill>
                <a:sysClr val="windowText" lastClr="000000"/>
              </a:solidFill>
            </a:rPr>
            <a:t>N</a:t>
          </a:r>
        </a:p>
      </xdr:txBody>
    </xdr:sp>
    <xdr:clientData/>
  </xdr:twoCellAnchor>
  <xdr:twoCellAnchor>
    <xdr:from>
      <xdr:col>1</xdr:col>
      <xdr:colOff>2482513</xdr:colOff>
      <xdr:row>113</xdr:row>
      <xdr:rowOff>96252</xdr:rowOff>
    </xdr:from>
    <xdr:to>
      <xdr:col>1</xdr:col>
      <xdr:colOff>2787313</xdr:colOff>
      <xdr:row>113</xdr:row>
      <xdr:rowOff>465222</xdr:rowOff>
    </xdr:to>
    <xdr:sp macro="" textlink="">
      <xdr:nvSpPr>
        <xdr:cNvPr id="8" name="Rectángulo: esquinas redondeadas 7">
          <a:extLst>
            <a:ext uri="{FF2B5EF4-FFF2-40B4-BE49-F238E27FC236}">
              <a16:creationId xmlns:a16="http://schemas.microsoft.com/office/drawing/2014/main" id="{419DFBFB-1384-4787-BD71-B4DBB8F46C31}"/>
            </a:ext>
          </a:extLst>
        </xdr:cNvPr>
        <xdr:cNvSpPr/>
      </xdr:nvSpPr>
      <xdr:spPr>
        <a:xfrm>
          <a:off x="3228471" y="28226084"/>
          <a:ext cx="304800" cy="368970"/>
        </a:xfrm>
        <a:prstGeom prst="round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b="1">
              <a:solidFill>
                <a:sysClr val="windowText" lastClr="000000"/>
              </a:solidFill>
            </a:rPr>
            <a:t>P1</a:t>
          </a:r>
        </a:p>
      </xdr:txBody>
    </xdr:sp>
    <xdr:clientData/>
  </xdr:twoCellAnchor>
  <xdr:twoCellAnchor>
    <xdr:from>
      <xdr:col>1</xdr:col>
      <xdr:colOff>2482513</xdr:colOff>
      <xdr:row>114</xdr:row>
      <xdr:rowOff>88231</xdr:rowOff>
    </xdr:from>
    <xdr:to>
      <xdr:col>1</xdr:col>
      <xdr:colOff>2787313</xdr:colOff>
      <xdr:row>114</xdr:row>
      <xdr:rowOff>457201</xdr:rowOff>
    </xdr:to>
    <xdr:sp macro="" textlink="">
      <xdr:nvSpPr>
        <xdr:cNvPr id="9" name="Rectángulo: esquinas redondeadas 8">
          <a:extLst>
            <a:ext uri="{FF2B5EF4-FFF2-40B4-BE49-F238E27FC236}">
              <a16:creationId xmlns:a16="http://schemas.microsoft.com/office/drawing/2014/main" id="{E2A64FE4-17D7-4E60-B19B-241D1CFD4CDE}"/>
            </a:ext>
          </a:extLst>
        </xdr:cNvPr>
        <xdr:cNvSpPr/>
      </xdr:nvSpPr>
      <xdr:spPr>
        <a:xfrm>
          <a:off x="3228471" y="28771515"/>
          <a:ext cx="304800" cy="368970"/>
        </a:xfrm>
        <a:prstGeom prst="round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b="1">
              <a:solidFill>
                <a:sysClr val="windowText" lastClr="000000"/>
              </a:solidFill>
            </a:rPr>
            <a:t>K</a:t>
          </a:r>
        </a:p>
      </xdr:txBody>
    </xdr:sp>
    <xdr:clientData/>
  </xdr:twoCellAnchor>
  <xdr:oneCellAnchor>
    <xdr:from>
      <xdr:col>1</xdr:col>
      <xdr:colOff>168441</xdr:colOff>
      <xdr:row>112</xdr:row>
      <xdr:rowOff>144379</xdr:rowOff>
    </xdr:from>
    <xdr:ext cx="1948610" cy="311496"/>
    <xdr:sp macro="" textlink="">
      <xdr:nvSpPr>
        <xdr:cNvPr id="10" name="CuadroTexto 9">
          <a:extLst>
            <a:ext uri="{FF2B5EF4-FFF2-40B4-BE49-F238E27FC236}">
              <a16:creationId xmlns:a16="http://schemas.microsoft.com/office/drawing/2014/main" id="{9B2189BB-80A3-47F5-A494-E18A0BDBFD30}"/>
            </a:ext>
          </a:extLst>
        </xdr:cNvPr>
        <xdr:cNvSpPr txBox="1"/>
      </xdr:nvSpPr>
      <xdr:spPr>
        <a:xfrm>
          <a:off x="376988" y="23830547"/>
          <a:ext cx="194861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a:solidFill>
                <a:schemeClr val="bg1"/>
              </a:solidFill>
              <a:effectLst>
                <a:glow rad="101600">
                  <a:schemeClr val="tx1">
                    <a:lumMod val="85000"/>
                    <a:lumOff val="15000"/>
                  </a:schemeClr>
                </a:glow>
              </a:effectLst>
            </a:rPr>
            <a:t>Your fertilization plan of</a:t>
          </a:r>
        </a:p>
      </xdr:txBody>
    </xdr:sp>
    <xdr:clientData/>
  </xdr:oneCellAnchor>
  <xdr:oneCellAnchor>
    <xdr:from>
      <xdr:col>1</xdr:col>
      <xdr:colOff>168441</xdr:colOff>
      <xdr:row>113</xdr:row>
      <xdr:rowOff>96252</xdr:rowOff>
    </xdr:from>
    <xdr:ext cx="1948610" cy="311496"/>
    <xdr:sp macro="" textlink="">
      <xdr:nvSpPr>
        <xdr:cNvPr id="11" name="CuadroTexto 10">
          <a:extLst>
            <a:ext uri="{FF2B5EF4-FFF2-40B4-BE49-F238E27FC236}">
              <a16:creationId xmlns:a16="http://schemas.microsoft.com/office/drawing/2014/main" id="{2F258C5C-A68E-47B8-A007-B592A84C5A44}"/>
            </a:ext>
          </a:extLst>
        </xdr:cNvPr>
        <xdr:cNvSpPr txBox="1"/>
      </xdr:nvSpPr>
      <xdr:spPr>
        <a:xfrm>
          <a:off x="376988" y="24375978"/>
          <a:ext cx="194861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a:solidFill>
                <a:schemeClr val="bg1"/>
              </a:solidFill>
              <a:effectLst>
                <a:glow rad="101600">
                  <a:schemeClr val="tx1">
                    <a:lumMod val="85000"/>
                    <a:lumOff val="15000"/>
                  </a:schemeClr>
                </a:glow>
              </a:effectLst>
            </a:rPr>
            <a:t>Your fertilization plan of</a:t>
          </a:r>
        </a:p>
      </xdr:txBody>
    </xdr:sp>
    <xdr:clientData/>
  </xdr:oneCellAnchor>
  <xdr:oneCellAnchor>
    <xdr:from>
      <xdr:col>1</xdr:col>
      <xdr:colOff>168441</xdr:colOff>
      <xdr:row>114</xdr:row>
      <xdr:rowOff>96252</xdr:rowOff>
    </xdr:from>
    <xdr:ext cx="1948610" cy="311496"/>
    <xdr:sp macro="" textlink="">
      <xdr:nvSpPr>
        <xdr:cNvPr id="12" name="CuadroTexto 11">
          <a:extLst>
            <a:ext uri="{FF2B5EF4-FFF2-40B4-BE49-F238E27FC236}">
              <a16:creationId xmlns:a16="http://schemas.microsoft.com/office/drawing/2014/main" id="{EFE85866-BF15-4391-B35A-D7C558C8832F}"/>
            </a:ext>
          </a:extLst>
        </xdr:cNvPr>
        <xdr:cNvSpPr txBox="1"/>
      </xdr:nvSpPr>
      <xdr:spPr>
        <a:xfrm>
          <a:off x="376988" y="24969536"/>
          <a:ext cx="194861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a:solidFill>
                <a:schemeClr val="bg1"/>
              </a:solidFill>
              <a:effectLst>
                <a:glow rad="101600">
                  <a:schemeClr val="tx1">
                    <a:lumMod val="85000"/>
                    <a:lumOff val="15000"/>
                  </a:schemeClr>
                </a:glow>
              </a:effectLst>
            </a:rPr>
            <a:t>Your fertilization plan of</a:t>
          </a:r>
        </a:p>
      </xdr:txBody>
    </xdr:sp>
    <xdr:clientData/>
  </xdr:oneCellAnchor>
  <xdr:twoCellAnchor editAs="oneCell">
    <xdr:from>
      <xdr:col>3</xdr:col>
      <xdr:colOff>1050757</xdr:colOff>
      <xdr:row>1</xdr:row>
      <xdr:rowOff>80211</xdr:rowOff>
    </xdr:from>
    <xdr:to>
      <xdr:col>3</xdr:col>
      <xdr:colOff>1886366</xdr:colOff>
      <xdr:row>2</xdr:row>
      <xdr:rowOff>176463</xdr:rowOff>
    </xdr:to>
    <xdr:pic>
      <xdr:nvPicPr>
        <xdr:cNvPr id="15" name="Imagen 14">
          <a:extLst>
            <a:ext uri="{FF2B5EF4-FFF2-40B4-BE49-F238E27FC236}">
              <a16:creationId xmlns:a16="http://schemas.microsoft.com/office/drawing/2014/main" id="{EBE39311-567B-4F36-A2F1-82A5EB2DB1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4315" y="272716"/>
          <a:ext cx="835609" cy="794084"/>
        </a:xfrm>
        <a:prstGeom prst="rect">
          <a:avLst/>
        </a:prstGeom>
      </xdr:spPr>
    </xdr:pic>
    <xdr:clientData/>
  </xdr:twoCellAnchor>
  <xdr:twoCellAnchor editAs="oneCell">
    <xdr:from>
      <xdr:col>1</xdr:col>
      <xdr:colOff>104273</xdr:colOff>
      <xdr:row>1</xdr:row>
      <xdr:rowOff>24063</xdr:rowOff>
    </xdr:from>
    <xdr:to>
      <xdr:col>1</xdr:col>
      <xdr:colOff>790852</xdr:colOff>
      <xdr:row>3</xdr:row>
      <xdr:rowOff>65170</xdr:rowOff>
    </xdr:to>
    <xdr:pic>
      <xdr:nvPicPr>
        <xdr:cNvPr id="19" name="Imagen 18">
          <a:extLst>
            <a:ext uri="{FF2B5EF4-FFF2-40B4-BE49-F238E27FC236}">
              <a16:creationId xmlns:a16="http://schemas.microsoft.com/office/drawing/2014/main" id="{F96D26D8-979C-40A8-AF11-F080F9C35D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2820" y="216568"/>
          <a:ext cx="686579" cy="931444"/>
        </a:xfrm>
        <a:prstGeom prst="rect">
          <a:avLst/>
        </a:prstGeom>
      </xdr:spPr>
    </xdr:pic>
    <xdr:clientData/>
  </xdr:twoCellAnchor>
  <xdr:twoCellAnchor>
    <xdr:from>
      <xdr:col>1</xdr:col>
      <xdr:colOff>192506</xdr:colOff>
      <xdr:row>92</xdr:row>
      <xdr:rowOff>176463</xdr:rowOff>
    </xdr:from>
    <xdr:to>
      <xdr:col>1</xdr:col>
      <xdr:colOff>2029327</xdr:colOff>
      <xdr:row>98</xdr:row>
      <xdr:rowOff>176463</xdr:rowOff>
    </xdr:to>
    <xdr:graphicFrame macro="">
      <xdr:nvGraphicFramePr>
        <xdr:cNvPr id="13" name="Gráfico 12">
          <a:extLst>
            <a:ext uri="{FF2B5EF4-FFF2-40B4-BE49-F238E27FC236}">
              <a16:creationId xmlns:a16="http://schemas.microsoft.com/office/drawing/2014/main" id="{85B70CC2-E520-4C40-B281-DF59EFAB67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2093495</xdr:colOff>
      <xdr:row>93</xdr:row>
      <xdr:rowOff>1</xdr:rowOff>
    </xdr:from>
    <xdr:to>
      <xdr:col>2</xdr:col>
      <xdr:colOff>954505</xdr:colOff>
      <xdr:row>99</xdr:row>
      <xdr:rowOff>0</xdr:rowOff>
    </xdr:to>
    <xdr:graphicFrame macro="">
      <xdr:nvGraphicFramePr>
        <xdr:cNvPr id="17" name="Gráfico 16">
          <a:extLst>
            <a:ext uri="{FF2B5EF4-FFF2-40B4-BE49-F238E27FC236}">
              <a16:creationId xmlns:a16="http://schemas.microsoft.com/office/drawing/2014/main" id="{45E1409A-75CE-45ED-A87B-5E4302B01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1018675</xdr:colOff>
      <xdr:row>93</xdr:row>
      <xdr:rowOff>8019</xdr:rowOff>
    </xdr:from>
    <xdr:to>
      <xdr:col>3</xdr:col>
      <xdr:colOff>1636295</xdr:colOff>
      <xdr:row>99</xdr:row>
      <xdr:rowOff>0</xdr:rowOff>
    </xdr:to>
    <xdr:graphicFrame macro="">
      <xdr:nvGraphicFramePr>
        <xdr:cNvPr id="18" name="Gráfico 17">
          <a:extLst>
            <a:ext uri="{FF2B5EF4-FFF2-40B4-BE49-F238E27FC236}">
              <a16:creationId xmlns:a16="http://schemas.microsoft.com/office/drawing/2014/main" id="{4D5EA292-A866-452E-AFCE-A01C05934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0.00437</cdr:x>
      <cdr:y>0.28986</cdr:y>
    </cdr:from>
    <cdr:to>
      <cdr:x>0.17031</cdr:x>
      <cdr:y>0.42029</cdr:y>
    </cdr:to>
    <cdr:sp macro="" textlink="">
      <cdr:nvSpPr>
        <cdr:cNvPr id="2" name="CuadroTexto 1">
          <a:extLst xmlns:a="http://schemas.openxmlformats.org/drawingml/2006/main">
            <a:ext uri="{FF2B5EF4-FFF2-40B4-BE49-F238E27FC236}">
              <a16:creationId xmlns:a16="http://schemas.microsoft.com/office/drawing/2014/main" id="{47C3AAA5-4ADF-43AA-914E-43D2E02E815F}"/>
            </a:ext>
          </a:extLst>
        </cdr:cNvPr>
        <cdr:cNvSpPr txBox="1"/>
      </cdr:nvSpPr>
      <cdr:spPr>
        <a:xfrm xmlns:a="http://schemas.openxmlformats.org/drawingml/2006/main">
          <a:off x="8021" y="320843"/>
          <a:ext cx="304800" cy="1443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0.28986</cdr:y>
    </cdr:from>
    <cdr:to>
      <cdr:x>0.24891</cdr:x>
      <cdr:y>0.52899</cdr:y>
    </cdr:to>
    <cdr:sp macro="" textlink="">
      <cdr:nvSpPr>
        <cdr:cNvPr id="3" name="CuadroTexto 2">
          <a:extLst xmlns:a="http://schemas.openxmlformats.org/drawingml/2006/main">
            <a:ext uri="{FF2B5EF4-FFF2-40B4-BE49-F238E27FC236}">
              <a16:creationId xmlns:a16="http://schemas.microsoft.com/office/drawing/2014/main" id="{5B0E9DC4-1B8F-4ADE-A24C-E6B235F65C61}"/>
            </a:ext>
          </a:extLst>
        </cdr:cNvPr>
        <cdr:cNvSpPr txBox="1"/>
      </cdr:nvSpPr>
      <cdr:spPr>
        <a:xfrm xmlns:a="http://schemas.openxmlformats.org/drawingml/2006/main">
          <a:off x="0" y="320843"/>
          <a:ext cx="457203" cy="2646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t>Input</a:t>
          </a:r>
        </a:p>
      </cdr:txBody>
    </cdr:sp>
  </cdr:relSizeAnchor>
  <cdr:relSizeAnchor xmlns:cdr="http://schemas.openxmlformats.org/drawingml/2006/chartDrawing">
    <cdr:from>
      <cdr:x>0</cdr:x>
      <cdr:y>0.44928</cdr:y>
    </cdr:from>
    <cdr:to>
      <cdr:x>0.30131</cdr:x>
      <cdr:y>0.68841</cdr:y>
    </cdr:to>
    <cdr:sp macro="" textlink="">
      <cdr:nvSpPr>
        <cdr:cNvPr id="4" name="CuadroTexto 1">
          <a:extLst xmlns:a="http://schemas.openxmlformats.org/drawingml/2006/main">
            <a:ext uri="{FF2B5EF4-FFF2-40B4-BE49-F238E27FC236}">
              <a16:creationId xmlns:a16="http://schemas.microsoft.com/office/drawing/2014/main" id="{91B5C5CA-624D-42CC-9DAC-46EFE8FE4C7D}"/>
            </a:ext>
          </a:extLst>
        </cdr:cNvPr>
        <cdr:cNvSpPr txBox="1"/>
      </cdr:nvSpPr>
      <cdr:spPr>
        <a:xfrm xmlns:a="http://schemas.openxmlformats.org/drawingml/2006/main">
          <a:off x="0" y="497306"/>
          <a:ext cx="553453" cy="264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Output</a:t>
          </a:r>
        </a:p>
      </cdr:txBody>
    </cdr:sp>
  </cdr:relSizeAnchor>
  <cdr:relSizeAnchor xmlns:cdr="http://schemas.openxmlformats.org/drawingml/2006/chartDrawing">
    <cdr:from>
      <cdr:x>0</cdr:x>
      <cdr:y>0.59662</cdr:y>
    </cdr:from>
    <cdr:to>
      <cdr:x>0.24891</cdr:x>
      <cdr:y>0.83575</cdr:y>
    </cdr:to>
    <cdr:sp macro="" textlink="">
      <cdr:nvSpPr>
        <cdr:cNvPr id="5" name="CuadroTexto 1">
          <a:extLst xmlns:a="http://schemas.openxmlformats.org/drawingml/2006/main">
            <a:ext uri="{FF2B5EF4-FFF2-40B4-BE49-F238E27FC236}">
              <a16:creationId xmlns:a16="http://schemas.microsoft.com/office/drawing/2014/main" id="{40C447DE-20B9-4AEB-A53E-4E271D808EF0}"/>
            </a:ext>
          </a:extLst>
        </cdr:cNvPr>
        <cdr:cNvSpPr txBox="1"/>
      </cdr:nvSpPr>
      <cdr:spPr>
        <a:xfrm xmlns:a="http://schemas.openxmlformats.org/drawingml/2006/main">
          <a:off x="0" y="660401"/>
          <a:ext cx="457203" cy="264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Balance</a:t>
          </a:r>
        </a:p>
      </cdr:txBody>
    </cdr:sp>
  </cdr:relSizeAnchor>
</c:userShapes>
</file>

<file path=xl/drawings/drawing3.xml><?xml version="1.0" encoding="utf-8"?>
<c:userShapes xmlns:c="http://schemas.openxmlformats.org/drawingml/2006/chart">
  <cdr:relSizeAnchor xmlns:cdr="http://schemas.openxmlformats.org/drawingml/2006/chartDrawing">
    <cdr:from>
      <cdr:x>0.00437</cdr:x>
      <cdr:y>0.28986</cdr:y>
    </cdr:from>
    <cdr:to>
      <cdr:x>0.17031</cdr:x>
      <cdr:y>0.42029</cdr:y>
    </cdr:to>
    <cdr:sp macro="" textlink="">
      <cdr:nvSpPr>
        <cdr:cNvPr id="2" name="CuadroTexto 1">
          <a:extLst xmlns:a="http://schemas.openxmlformats.org/drawingml/2006/main">
            <a:ext uri="{FF2B5EF4-FFF2-40B4-BE49-F238E27FC236}">
              <a16:creationId xmlns:a16="http://schemas.microsoft.com/office/drawing/2014/main" id="{47C3AAA5-4ADF-43AA-914E-43D2E02E815F}"/>
            </a:ext>
          </a:extLst>
        </cdr:cNvPr>
        <cdr:cNvSpPr txBox="1"/>
      </cdr:nvSpPr>
      <cdr:spPr>
        <a:xfrm xmlns:a="http://schemas.openxmlformats.org/drawingml/2006/main">
          <a:off x="8021" y="320843"/>
          <a:ext cx="304800" cy="1443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0.28261</cdr:y>
    </cdr:from>
    <cdr:to>
      <cdr:x>0.24891</cdr:x>
      <cdr:y>0.52174</cdr:y>
    </cdr:to>
    <cdr:sp macro="" textlink="">
      <cdr:nvSpPr>
        <cdr:cNvPr id="3" name="CuadroTexto 2">
          <a:extLst xmlns:a="http://schemas.openxmlformats.org/drawingml/2006/main">
            <a:ext uri="{FF2B5EF4-FFF2-40B4-BE49-F238E27FC236}">
              <a16:creationId xmlns:a16="http://schemas.microsoft.com/office/drawing/2014/main" id="{5B0E9DC4-1B8F-4ADE-A24C-E6B235F65C61}"/>
            </a:ext>
          </a:extLst>
        </cdr:cNvPr>
        <cdr:cNvSpPr txBox="1"/>
      </cdr:nvSpPr>
      <cdr:spPr>
        <a:xfrm xmlns:a="http://schemas.openxmlformats.org/drawingml/2006/main">
          <a:off x="0" y="312821"/>
          <a:ext cx="457203" cy="2646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t>Input</a:t>
          </a:r>
        </a:p>
      </cdr:txBody>
    </cdr:sp>
  </cdr:relSizeAnchor>
  <cdr:relSizeAnchor xmlns:cdr="http://schemas.openxmlformats.org/drawingml/2006/chartDrawing">
    <cdr:from>
      <cdr:x>0</cdr:x>
      <cdr:y>0.4372</cdr:y>
    </cdr:from>
    <cdr:to>
      <cdr:x>0.30131</cdr:x>
      <cdr:y>0.67633</cdr:y>
    </cdr:to>
    <cdr:sp macro="" textlink="">
      <cdr:nvSpPr>
        <cdr:cNvPr id="4" name="CuadroTexto 1">
          <a:extLst xmlns:a="http://schemas.openxmlformats.org/drawingml/2006/main">
            <a:ext uri="{FF2B5EF4-FFF2-40B4-BE49-F238E27FC236}">
              <a16:creationId xmlns:a16="http://schemas.microsoft.com/office/drawing/2014/main" id="{91B5C5CA-624D-42CC-9DAC-46EFE8FE4C7D}"/>
            </a:ext>
          </a:extLst>
        </cdr:cNvPr>
        <cdr:cNvSpPr txBox="1"/>
      </cdr:nvSpPr>
      <cdr:spPr>
        <a:xfrm xmlns:a="http://schemas.openxmlformats.org/drawingml/2006/main">
          <a:off x="0" y="483937"/>
          <a:ext cx="553453" cy="264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Output</a:t>
          </a:r>
        </a:p>
      </cdr:txBody>
    </cdr:sp>
  </cdr:relSizeAnchor>
  <cdr:relSizeAnchor xmlns:cdr="http://schemas.openxmlformats.org/drawingml/2006/chartDrawing">
    <cdr:from>
      <cdr:x>0</cdr:x>
      <cdr:y>0.59662</cdr:y>
    </cdr:from>
    <cdr:to>
      <cdr:x>0.24891</cdr:x>
      <cdr:y>0.83575</cdr:y>
    </cdr:to>
    <cdr:sp macro="" textlink="">
      <cdr:nvSpPr>
        <cdr:cNvPr id="5" name="CuadroTexto 1">
          <a:extLst xmlns:a="http://schemas.openxmlformats.org/drawingml/2006/main">
            <a:ext uri="{FF2B5EF4-FFF2-40B4-BE49-F238E27FC236}">
              <a16:creationId xmlns:a16="http://schemas.microsoft.com/office/drawing/2014/main" id="{0849A7E6-9C60-459E-947E-38699EC5F7D1}"/>
            </a:ext>
          </a:extLst>
        </cdr:cNvPr>
        <cdr:cNvSpPr txBox="1"/>
      </cdr:nvSpPr>
      <cdr:spPr>
        <a:xfrm xmlns:a="http://schemas.openxmlformats.org/drawingml/2006/main">
          <a:off x="0" y="660400"/>
          <a:ext cx="457203" cy="264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Balance</a:t>
          </a:r>
        </a:p>
      </cdr:txBody>
    </cdr:sp>
  </cdr:relSizeAnchor>
</c:userShapes>
</file>

<file path=xl/drawings/drawing4.xml><?xml version="1.0" encoding="utf-8"?>
<c:userShapes xmlns:c="http://schemas.openxmlformats.org/drawingml/2006/chart">
  <cdr:relSizeAnchor xmlns:cdr="http://schemas.openxmlformats.org/drawingml/2006/chartDrawing">
    <cdr:from>
      <cdr:x>0.00437</cdr:x>
      <cdr:y>0.28986</cdr:y>
    </cdr:from>
    <cdr:to>
      <cdr:x>0.17031</cdr:x>
      <cdr:y>0.42029</cdr:y>
    </cdr:to>
    <cdr:sp macro="" textlink="">
      <cdr:nvSpPr>
        <cdr:cNvPr id="2" name="CuadroTexto 1">
          <a:extLst xmlns:a="http://schemas.openxmlformats.org/drawingml/2006/main">
            <a:ext uri="{FF2B5EF4-FFF2-40B4-BE49-F238E27FC236}">
              <a16:creationId xmlns:a16="http://schemas.microsoft.com/office/drawing/2014/main" id="{47C3AAA5-4ADF-43AA-914E-43D2E02E815F}"/>
            </a:ext>
          </a:extLst>
        </cdr:cNvPr>
        <cdr:cNvSpPr txBox="1"/>
      </cdr:nvSpPr>
      <cdr:spPr>
        <a:xfrm xmlns:a="http://schemas.openxmlformats.org/drawingml/2006/main">
          <a:off x="8021" y="320843"/>
          <a:ext cx="304800" cy="1443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0.28282</cdr:y>
    </cdr:from>
    <cdr:to>
      <cdr:x>0.24891</cdr:x>
      <cdr:y>0.52195</cdr:y>
    </cdr:to>
    <cdr:sp macro="" textlink="">
      <cdr:nvSpPr>
        <cdr:cNvPr id="3" name="CuadroTexto 2">
          <a:extLst xmlns:a="http://schemas.openxmlformats.org/drawingml/2006/main">
            <a:ext uri="{FF2B5EF4-FFF2-40B4-BE49-F238E27FC236}">
              <a16:creationId xmlns:a16="http://schemas.microsoft.com/office/drawing/2014/main" id="{5B0E9DC4-1B8F-4ADE-A24C-E6B235F65C61}"/>
            </a:ext>
          </a:extLst>
        </cdr:cNvPr>
        <cdr:cNvSpPr txBox="1"/>
      </cdr:nvSpPr>
      <cdr:spPr>
        <a:xfrm xmlns:a="http://schemas.openxmlformats.org/drawingml/2006/main">
          <a:off x="0" y="310783"/>
          <a:ext cx="457203" cy="2627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800"/>
            <a:t>Input</a:t>
          </a:r>
        </a:p>
      </cdr:txBody>
    </cdr:sp>
  </cdr:relSizeAnchor>
  <cdr:relSizeAnchor xmlns:cdr="http://schemas.openxmlformats.org/drawingml/2006/chartDrawing">
    <cdr:from>
      <cdr:x>0</cdr:x>
      <cdr:y>0.43741</cdr:y>
    </cdr:from>
    <cdr:to>
      <cdr:x>0.30131</cdr:x>
      <cdr:y>0.67654</cdr:y>
    </cdr:to>
    <cdr:sp macro="" textlink="">
      <cdr:nvSpPr>
        <cdr:cNvPr id="4" name="CuadroTexto 1">
          <a:extLst xmlns:a="http://schemas.openxmlformats.org/drawingml/2006/main">
            <a:ext uri="{FF2B5EF4-FFF2-40B4-BE49-F238E27FC236}">
              <a16:creationId xmlns:a16="http://schemas.microsoft.com/office/drawing/2014/main" id="{91B5C5CA-624D-42CC-9DAC-46EFE8FE4C7D}"/>
            </a:ext>
          </a:extLst>
        </cdr:cNvPr>
        <cdr:cNvSpPr txBox="1"/>
      </cdr:nvSpPr>
      <cdr:spPr>
        <a:xfrm xmlns:a="http://schemas.openxmlformats.org/drawingml/2006/main">
          <a:off x="0" y="480660"/>
          <a:ext cx="553452" cy="2627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Output</a:t>
          </a:r>
        </a:p>
      </cdr:txBody>
    </cdr:sp>
  </cdr:relSizeAnchor>
  <cdr:relSizeAnchor xmlns:cdr="http://schemas.openxmlformats.org/drawingml/2006/chartDrawing">
    <cdr:from>
      <cdr:x>0</cdr:x>
      <cdr:y>0.58953</cdr:y>
    </cdr:from>
    <cdr:to>
      <cdr:x>0.24891</cdr:x>
      <cdr:y>0.82866</cdr:y>
    </cdr:to>
    <cdr:sp macro="" textlink="">
      <cdr:nvSpPr>
        <cdr:cNvPr id="5" name="CuadroTexto 1">
          <a:extLst xmlns:a="http://schemas.openxmlformats.org/drawingml/2006/main">
            <a:ext uri="{FF2B5EF4-FFF2-40B4-BE49-F238E27FC236}">
              <a16:creationId xmlns:a16="http://schemas.microsoft.com/office/drawing/2014/main" id="{0BA9F9A9-CA47-48C6-B6CA-04327F375A33}"/>
            </a:ext>
          </a:extLst>
        </cdr:cNvPr>
        <cdr:cNvSpPr txBox="1"/>
      </cdr:nvSpPr>
      <cdr:spPr>
        <a:xfrm xmlns:a="http://schemas.openxmlformats.org/drawingml/2006/main">
          <a:off x="0" y="647824"/>
          <a:ext cx="457203" cy="26277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Balance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Objetivo%204.%20Calculadora%20Nutriolivar/Calculadora%20en%20Bruto/Calculadora%20Nutrientes_Nutriolivar%20_Bru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de Nutrientes"/>
      <sheetName val="FERTILIZANTES"/>
    </sheetNames>
    <sheetDataSet>
      <sheetData sheetId="0" refreshError="1"/>
      <sheetData sheetId="1">
        <row r="40">
          <cell r="E40" t="str">
            <v>Quemarla</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A71C92-4D01-45B5-A56E-168A71944A74}" name="tblFert" displayName="tblFert" ref="B11:F22" totalsRowShown="0" headerRowDxfId="8" dataDxfId="6" headerRowBorderDxfId="7" tableBorderDxfId="5">
  <autoFilter ref="B11:F22" xr:uid="{74A71C92-4D01-45B5-A56E-168A71944A74}"/>
  <tableColumns count="5">
    <tableColumn id="1" xr3:uid="{9B33048D-CDA3-414D-B819-D030EB00918F}" name="Fertilizante orgánico" dataDxfId="4"/>
    <tableColumn id="2" xr3:uid="{943F192F-EBB0-45ED-A0F5-45934B842247}" name="N" dataDxfId="3"/>
    <tableColumn id="3" xr3:uid="{30C626B1-9F24-42E4-AE91-0554186EC75C}" name="P" dataDxfId="2"/>
    <tableColumn id="4" xr3:uid="{71FDEE68-C542-4D60-8FAF-BA57B768F771}" name="K" dataDxfId="1"/>
    <tableColumn id="5" xr3:uid="{CDF196A9-C8F9-4653-8AF4-A954CED721C0}" name="Humedad"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1633C-EC61-4C66-93F5-4C5E484D3A2D}">
  <dimension ref="A1:E137"/>
  <sheetViews>
    <sheetView showGridLines="0" tabSelected="1" zoomScale="95" zoomScaleNormal="95" workbookViewId="0">
      <selection activeCell="D90" sqref="D90"/>
    </sheetView>
  </sheetViews>
  <sheetFormatPr baseColWidth="10" defaultColWidth="0" defaultRowHeight="14.4" zeroHeight="1" x14ac:dyDescent="0.3"/>
  <cols>
    <col min="1" max="1" width="3" style="67" customWidth="1"/>
    <col min="2" max="2" width="43.33203125" customWidth="1"/>
    <col min="3" max="3" width="17.77734375" style="2" customWidth="1"/>
    <col min="4" max="4" width="29" customWidth="1"/>
    <col min="5" max="5" width="2.77734375" style="67" customWidth="1"/>
    <col min="6" max="16384" width="11.5546875" hidden="1"/>
  </cols>
  <sheetData>
    <row r="1" spans="1:5" ht="15" thickBot="1" x14ac:dyDescent="0.35">
      <c r="B1" s="67"/>
      <c r="C1" s="216"/>
      <c r="D1" s="67"/>
    </row>
    <row r="2" spans="1:5" s="67" customFormat="1" ht="55.2" customHeight="1" x14ac:dyDescent="0.3">
      <c r="B2" s="291" t="s">
        <v>311</v>
      </c>
      <c r="C2" s="292"/>
      <c r="D2" s="293"/>
    </row>
    <row r="3" spans="1:5" s="67" customFormat="1" ht="15" customHeight="1" x14ac:dyDescent="0.3">
      <c r="B3" s="294" t="s">
        <v>312</v>
      </c>
      <c r="C3" s="295"/>
      <c r="D3" s="296"/>
    </row>
    <row r="4" spans="1:5" s="67" customFormat="1" ht="22.8" customHeight="1" thickBot="1" x14ac:dyDescent="0.35">
      <c r="B4" s="297" t="s">
        <v>313</v>
      </c>
      <c r="C4" s="298"/>
      <c r="D4" s="299"/>
    </row>
    <row r="5" spans="1:5" s="67" customFormat="1" ht="15" thickBot="1" x14ac:dyDescent="0.35"/>
    <row r="6" spans="1:5" s="67" customFormat="1" ht="24" thickBot="1" x14ac:dyDescent="0.5">
      <c r="B6" s="302" t="s">
        <v>314</v>
      </c>
      <c r="C6" s="303"/>
      <c r="D6" s="304"/>
    </row>
    <row r="7" spans="1:5" s="67" customFormat="1" x14ac:dyDescent="0.3">
      <c r="C7" s="216"/>
    </row>
    <row r="8" spans="1:5" s="67" customFormat="1" ht="46.2" customHeight="1" x14ac:dyDescent="0.3">
      <c r="B8" s="277" t="s">
        <v>315</v>
      </c>
      <c r="C8" s="278"/>
      <c r="D8" s="279"/>
    </row>
    <row r="9" spans="1:5" s="67" customFormat="1" ht="44.4" customHeight="1" x14ac:dyDescent="0.3">
      <c r="B9" s="276" t="s">
        <v>316</v>
      </c>
      <c r="C9" s="276"/>
      <c r="D9" s="276"/>
    </row>
    <row r="10" spans="1:5" s="67" customFormat="1" ht="39.6" customHeight="1" x14ac:dyDescent="0.3">
      <c r="B10" s="276" t="s">
        <v>317</v>
      </c>
      <c r="C10" s="276"/>
      <c r="D10" s="276"/>
    </row>
    <row r="11" spans="1:5" s="67" customFormat="1" ht="15" thickBot="1" x14ac:dyDescent="0.35">
      <c r="C11" s="216"/>
    </row>
    <row r="12" spans="1:5" ht="24" thickBot="1" x14ac:dyDescent="0.5">
      <c r="A12" s="35"/>
      <c r="B12" s="280" t="s">
        <v>318</v>
      </c>
      <c r="C12" s="281"/>
      <c r="D12" s="282"/>
      <c r="E12" s="221"/>
    </row>
    <row r="13" spans="1:5" x14ac:dyDescent="0.3">
      <c r="A13" s="35"/>
      <c r="B13" s="35"/>
      <c r="C13" s="35"/>
      <c r="D13" s="35"/>
      <c r="E13" s="35"/>
    </row>
    <row r="14" spans="1:5" x14ac:dyDescent="0.3">
      <c r="A14" s="35"/>
      <c r="B14" s="218"/>
      <c r="C14" s="218" t="s">
        <v>319</v>
      </c>
      <c r="D14" s="219" t="s">
        <v>321</v>
      </c>
    </row>
    <row r="15" spans="1:5" x14ac:dyDescent="0.3">
      <c r="A15" s="35"/>
      <c r="B15" s="220" t="s">
        <v>322</v>
      </c>
      <c r="C15" s="220" t="s">
        <v>326</v>
      </c>
      <c r="D15" s="245"/>
    </row>
    <row r="16" spans="1:5" x14ac:dyDescent="0.3">
      <c r="A16" s="35"/>
      <c r="B16" s="220" t="s">
        <v>323</v>
      </c>
      <c r="C16" s="220" t="s">
        <v>327</v>
      </c>
      <c r="D16" s="245"/>
    </row>
    <row r="17" spans="1:5" ht="16.2" x14ac:dyDescent="0.3">
      <c r="A17" s="35"/>
      <c r="B17" s="220" t="s">
        <v>324</v>
      </c>
      <c r="C17" s="220" t="s">
        <v>200</v>
      </c>
      <c r="D17" s="245"/>
    </row>
    <row r="18" spans="1:5" x14ac:dyDescent="0.3">
      <c r="A18" s="35"/>
      <c r="B18" s="238" t="s">
        <v>325</v>
      </c>
      <c r="C18" s="220" t="s">
        <v>255</v>
      </c>
      <c r="D18" s="245"/>
    </row>
    <row r="19" spans="1:5" s="4" customFormat="1" ht="15" thickBot="1" x14ac:dyDescent="0.35">
      <c r="A19" s="35"/>
      <c r="B19" s="35"/>
      <c r="C19" s="217"/>
      <c r="D19" s="35"/>
      <c r="E19" s="35"/>
    </row>
    <row r="20" spans="1:5" ht="24" thickBot="1" x14ac:dyDescent="0.5">
      <c r="A20" s="35"/>
      <c r="B20" s="284" t="s">
        <v>328</v>
      </c>
      <c r="C20" s="285"/>
      <c r="D20" s="286"/>
      <c r="E20" s="222"/>
    </row>
    <row r="21" spans="1:5" ht="12.6" customHeight="1" x14ac:dyDescent="0.3">
      <c r="A21" s="35"/>
      <c r="B21" s="229"/>
      <c r="E21" s="35"/>
    </row>
    <row r="22" spans="1:5" s="67" customFormat="1" ht="18" x14ac:dyDescent="0.35">
      <c r="A22" s="35"/>
      <c r="B22" s="232"/>
      <c r="C22" s="218" t="s">
        <v>319</v>
      </c>
      <c r="D22" s="219" t="s">
        <v>321</v>
      </c>
      <c r="E22" s="35"/>
    </row>
    <row r="23" spans="1:5" x14ac:dyDescent="0.3">
      <c r="B23" s="231" t="s">
        <v>329</v>
      </c>
      <c r="C23" s="220" t="s">
        <v>331</v>
      </c>
      <c r="D23" s="248"/>
      <c r="E23" s="35"/>
    </row>
    <row r="24" spans="1:5" s="67" customFormat="1" ht="16.2" x14ac:dyDescent="0.3">
      <c r="A24" s="35"/>
      <c r="B24" s="231" t="s">
        <v>330</v>
      </c>
      <c r="C24" s="220" t="s">
        <v>256</v>
      </c>
      <c r="D24" s="247"/>
      <c r="E24" s="35"/>
    </row>
    <row r="25" spans="1:5" x14ac:dyDescent="0.3">
      <c r="A25" s="35"/>
      <c r="B25" s="266" t="s">
        <v>332</v>
      </c>
      <c r="C25" s="265"/>
      <c r="D25" s="247" t="s">
        <v>266</v>
      </c>
      <c r="E25" s="35"/>
    </row>
    <row r="26" spans="1:5" x14ac:dyDescent="0.3">
      <c r="A26" s="35"/>
      <c r="B26" s="300" t="s">
        <v>333</v>
      </c>
      <c r="C26" s="301"/>
      <c r="D26" s="247" t="s">
        <v>266</v>
      </c>
      <c r="E26" s="223"/>
    </row>
    <row r="27" spans="1:5" s="67" customFormat="1" x14ac:dyDescent="0.3">
      <c r="A27" s="35"/>
      <c r="B27" s="300" t="s">
        <v>334</v>
      </c>
      <c r="C27" s="301"/>
      <c r="D27" s="247" t="s">
        <v>266</v>
      </c>
      <c r="E27" s="224"/>
    </row>
    <row r="28" spans="1:5" x14ac:dyDescent="0.3">
      <c r="A28" s="35"/>
      <c r="B28" s="283" t="s">
        <v>335</v>
      </c>
      <c r="C28" s="283"/>
      <c r="D28" s="245" t="s">
        <v>266</v>
      </c>
      <c r="E28" s="225"/>
    </row>
    <row r="29" spans="1:5" ht="18" x14ac:dyDescent="0.35">
      <c r="A29" s="35"/>
      <c r="B29" s="232" t="s">
        <v>336</v>
      </c>
      <c r="E29" s="224"/>
    </row>
    <row r="30" spans="1:5" x14ac:dyDescent="0.3">
      <c r="A30" s="35"/>
      <c r="B30" s="233" t="s">
        <v>337</v>
      </c>
      <c r="C30" s="234" t="s">
        <v>343</v>
      </c>
      <c r="D30" s="249" t="s">
        <v>266</v>
      </c>
      <c r="E30" s="35"/>
    </row>
    <row r="31" spans="1:5" x14ac:dyDescent="0.3">
      <c r="A31" s="35"/>
      <c r="B31" s="233" t="s">
        <v>342</v>
      </c>
      <c r="C31" s="234" t="s">
        <v>253</v>
      </c>
      <c r="D31" s="247"/>
      <c r="E31" s="35"/>
    </row>
    <row r="32" spans="1:5" s="67" customFormat="1" x14ac:dyDescent="0.3">
      <c r="A32" s="35"/>
      <c r="B32" s="217"/>
      <c r="C32" s="35"/>
      <c r="D32" s="235"/>
      <c r="E32" s="35"/>
    </row>
    <row r="33" spans="1:5" x14ac:dyDescent="0.3">
      <c r="A33" s="35"/>
      <c r="B33" s="231" t="s">
        <v>338</v>
      </c>
      <c r="C33" s="220" t="s">
        <v>343</v>
      </c>
      <c r="D33" s="249" t="s">
        <v>266</v>
      </c>
      <c r="E33" s="35"/>
    </row>
    <row r="34" spans="1:5" x14ac:dyDescent="0.3">
      <c r="A34" s="35"/>
      <c r="B34" s="231" t="s">
        <v>342</v>
      </c>
      <c r="C34" s="220" t="s">
        <v>253</v>
      </c>
      <c r="D34" s="247"/>
      <c r="E34" s="35"/>
    </row>
    <row r="35" spans="1:5" s="67" customFormat="1" x14ac:dyDescent="0.3">
      <c r="A35" s="35"/>
      <c r="B35" s="217"/>
      <c r="C35" s="35"/>
      <c r="D35" s="224"/>
      <c r="E35" s="35"/>
    </row>
    <row r="36" spans="1:5" x14ac:dyDescent="0.3">
      <c r="A36" s="35"/>
      <c r="B36" s="231" t="s">
        <v>339</v>
      </c>
      <c r="C36" s="220" t="s">
        <v>343</v>
      </c>
      <c r="D36" s="249" t="s">
        <v>266</v>
      </c>
      <c r="E36" s="35"/>
    </row>
    <row r="37" spans="1:5" x14ac:dyDescent="0.3">
      <c r="A37" s="35"/>
      <c r="B37" s="231" t="s">
        <v>342</v>
      </c>
      <c r="C37" s="220" t="s">
        <v>253</v>
      </c>
      <c r="D37" s="247"/>
      <c r="E37" s="35"/>
    </row>
    <row r="38" spans="1:5" s="67" customFormat="1" x14ac:dyDescent="0.3">
      <c r="A38" s="35"/>
      <c r="B38" s="217"/>
      <c r="C38" s="35"/>
      <c r="D38" s="224"/>
      <c r="E38" s="35"/>
    </row>
    <row r="39" spans="1:5" x14ac:dyDescent="0.3">
      <c r="A39" s="35"/>
      <c r="B39" s="231" t="s">
        <v>340</v>
      </c>
      <c r="C39" s="220" t="s">
        <v>343</v>
      </c>
      <c r="D39" s="249" t="s">
        <v>266</v>
      </c>
      <c r="E39" s="35"/>
    </row>
    <row r="40" spans="1:5" x14ac:dyDescent="0.3">
      <c r="A40" s="35"/>
      <c r="B40" s="231" t="s">
        <v>342</v>
      </c>
      <c r="C40" s="220" t="s">
        <v>253</v>
      </c>
      <c r="D40" s="247"/>
      <c r="E40" s="35"/>
    </row>
    <row r="41" spans="1:5" s="67" customFormat="1" x14ac:dyDescent="0.3">
      <c r="A41" s="35"/>
      <c r="B41" s="217"/>
      <c r="C41" s="35"/>
      <c r="D41" s="224"/>
      <c r="E41" s="35"/>
    </row>
    <row r="42" spans="1:5" x14ac:dyDescent="0.3">
      <c r="A42" s="35"/>
      <c r="B42" s="231" t="s">
        <v>341</v>
      </c>
      <c r="C42" s="220" t="s">
        <v>343</v>
      </c>
      <c r="D42" s="249" t="s">
        <v>266</v>
      </c>
      <c r="E42" s="35"/>
    </row>
    <row r="43" spans="1:5" x14ac:dyDescent="0.3">
      <c r="A43" s="35"/>
      <c r="B43" s="231" t="s">
        <v>342</v>
      </c>
      <c r="C43" s="220" t="s">
        <v>253</v>
      </c>
      <c r="D43" s="247"/>
      <c r="E43" s="35"/>
    </row>
    <row r="44" spans="1:5" s="67" customFormat="1" ht="18" x14ac:dyDescent="0.35">
      <c r="A44" s="35"/>
      <c r="B44" s="232" t="s">
        <v>345</v>
      </c>
      <c r="C44" s="217"/>
      <c r="D44" s="35"/>
      <c r="E44" s="224"/>
    </row>
    <row r="45" spans="1:5" s="67" customFormat="1" ht="32.4" customHeight="1" x14ac:dyDescent="0.3">
      <c r="A45" s="35"/>
      <c r="B45" s="290" t="s">
        <v>346</v>
      </c>
      <c r="C45" s="290"/>
      <c r="D45" s="290"/>
      <c r="E45" s="224"/>
    </row>
    <row r="46" spans="1:5" x14ac:dyDescent="0.3">
      <c r="A46" s="35"/>
      <c r="B46" s="233" t="s">
        <v>337</v>
      </c>
      <c r="C46" s="220" t="s">
        <v>343</v>
      </c>
      <c r="D46" s="247" t="s">
        <v>266</v>
      </c>
      <c r="E46" s="35"/>
    </row>
    <row r="47" spans="1:5" x14ac:dyDescent="0.3">
      <c r="A47" s="35"/>
      <c r="B47" s="231" t="s">
        <v>347</v>
      </c>
      <c r="C47" s="220" t="s">
        <v>253</v>
      </c>
      <c r="D47" s="247"/>
      <c r="E47" s="35"/>
    </row>
    <row r="48" spans="1:5" x14ac:dyDescent="0.3">
      <c r="A48" s="35"/>
      <c r="B48" s="231" t="s">
        <v>348</v>
      </c>
      <c r="C48" s="220" t="s">
        <v>1</v>
      </c>
      <c r="D48" s="247">
        <f>IF(OR($D$46="NPK granulados",$D$46="NPK solubles"),"",VLOOKUP($D$46,FERTILIZANTES!$H$12:$K$30,2,FALSE))</f>
        <v>0</v>
      </c>
      <c r="E48" s="35"/>
    </row>
    <row r="49" spans="1:5" x14ac:dyDescent="0.3">
      <c r="A49" s="35"/>
      <c r="B49" s="231" t="s">
        <v>349</v>
      </c>
      <c r="C49" s="220" t="s">
        <v>1</v>
      </c>
      <c r="D49" s="247">
        <f>IF(OR($D$46="NPK granulados",$D$46="NPK solubles"),"",VLOOKUP($D$46,FERTILIZANTES!$H$12:$K$30,3,FALSE))</f>
        <v>0</v>
      </c>
      <c r="E49" s="35"/>
    </row>
    <row r="50" spans="1:5" x14ac:dyDescent="0.3">
      <c r="A50" s="35"/>
      <c r="B50" s="231" t="s">
        <v>350</v>
      </c>
      <c r="C50" s="220" t="s">
        <v>1</v>
      </c>
      <c r="D50" s="247">
        <f>IF(OR($D$46="NPK granulados",$D$46="NPK solubles"),"",VLOOKUP($D$46,FERTILIZANTES!$H$12:$K$30,4,FALSE))</f>
        <v>0</v>
      </c>
      <c r="E50" s="35"/>
    </row>
    <row r="51" spans="1:5" s="67" customFormat="1" x14ac:dyDescent="0.3">
      <c r="A51" s="35"/>
      <c r="B51" s="217"/>
      <c r="C51" s="35"/>
      <c r="D51" s="224"/>
      <c r="E51" s="35"/>
    </row>
    <row r="52" spans="1:5" x14ac:dyDescent="0.3">
      <c r="A52" s="35"/>
      <c r="B52" s="233" t="s">
        <v>338</v>
      </c>
      <c r="C52" s="220" t="s">
        <v>343</v>
      </c>
      <c r="D52" s="247" t="s">
        <v>266</v>
      </c>
      <c r="E52" s="35"/>
    </row>
    <row r="53" spans="1:5" x14ac:dyDescent="0.3">
      <c r="A53" s="35"/>
      <c r="B53" s="231" t="s">
        <v>347</v>
      </c>
      <c r="C53" s="220" t="s">
        <v>253</v>
      </c>
      <c r="D53" s="247">
        <v>0</v>
      </c>
      <c r="E53" s="35"/>
    </row>
    <row r="54" spans="1:5" x14ac:dyDescent="0.3">
      <c r="A54" s="35"/>
      <c r="B54" s="231" t="s">
        <v>348</v>
      </c>
      <c r="C54" s="220" t="s">
        <v>1</v>
      </c>
      <c r="D54" s="247">
        <f>IF(OR($D$52="NPK granulados",$D$52="NPK solubles"),"",VLOOKUP($D$52,FERTILIZANTES!$H$12:$K$30,2,FALSE))</f>
        <v>0</v>
      </c>
      <c r="E54" s="35"/>
    </row>
    <row r="55" spans="1:5" x14ac:dyDescent="0.3">
      <c r="A55" s="35"/>
      <c r="B55" s="231" t="s">
        <v>349</v>
      </c>
      <c r="C55" s="220" t="s">
        <v>1</v>
      </c>
      <c r="D55" s="247">
        <f>IF(OR($D$52="NPK granulados",$D$52="NPK solubles"),"",VLOOKUP($D$52,FERTILIZANTES!$H$12:$K$30,3,FALSE))</f>
        <v>0</v>
      </c>
      <c r="E55" s="35"/>
    </row>
    <row r="56" spans="1:5" x14ac:dyDescent="0.3">
      <c r="A56" s="35"/>
      <c r="B56" s="231" t="s">
        <v>350</v>
      </c>
      <c r="C56" s="220" t="s">
        <v>1</v>
      </c>
      <c r="D56" s="247">
        <f>IF(OR($D$52="NPK granulados",$D$52="NPK solubles"),"",VLOOKUP($D$52,FERTILIZANTES!$H$12:$K$30,4,FALSE))</f>
        <v>0</v>
      </c>
      <c r="E56" s="35"/>
    </row>
    <row r="57" spans="1:5" s="67" customFormat="1" x14ac:dyDescent="0.3">
      <c r="A57" s="35"/>
      <c r="B57" s="217"/>
      <c r="C57" s="35"/>
      <c r="D57" s="224"/>
      <c r="E57" s="35"/>
    </row>
    <row r="58" spans="1:5" x14ac:dyDescent="0.3">
      <c r="A58" s="35"/>
      <c r="B58" s="233" t="s">
        <v>339</v>
      </c>
      <c r="C58" s="220" t="s">
        <v>343</v>
      </c>
      <c r="D58" s="247" t="s">
        <v>266</v>
      </c>
      <c r="E58" s="35"/>
    </row>
    <row r="59" spans="1:5" x14ac:dyDescent="0.3">
      <c r="A59" s="35"/>
      <c r="B59" s="231" t="s">
        <v>347</v>
      </c>
      <c r="C59" s="220" t="s">
        <v>253</v>
      </c>
      <c r="D59" s="247">
        <v>0</v>
      </c>
      <c r="E59" s="35"/>
    </row>
    <row r="60" spans="1:5" x14ac:dyDescent="0.3">
      <c r="A60" s="35"/>
      <c r="B60" s="231" t="s">
        <v>348</v>
      </c>
      <c r="C60" s="220" t="s">
        <v>1</v>
      </c>
      <c r="D60" s="247">
        <f>IF(OR($D$58="NPK granulados",$D$58="NPK solubles"),"",VLOOKUP($D$58,FERTILIZANTES!$H$12:$K$30,2,FALSE))</f>
        <v>0</v>
      </c>
      <c r="E60" s="35"/>
    </row>
    <row r="61" spans="1:5" x14ac:dyDescent="0.3">
      <c r="A61" s="35"/>
      <c r="B61" s="231" t="s">
        <v>349</v>
      </c>
      <c r="C61" s="220" t="s">
        <v>1</v>
      </c>
      <c r="D61" s="247">
        <f>IF(OR($D$58="NPK granulados",$D$58="NPK solubles"),"",VLOOKUP($D$58,FERTILIZANTES!$H$12:$K$30,3,FALSE))</f>
        <v>0</v>
      </c>
      <c r="E61" s="35"/>
    </row>
    <row r="62" spans="1:5" x14ac:dyDescent="0.3">
      <c r="A62" s="35"/>
      <c r="B62" s="231" t="s">
        <v>350</v>
      </c>
      <c r="C62" s="220" t="s">
        <v>1</v>
      </c>
      <c r="D62" s="247">
        <f>IF(OR($D$58="NPK granulados",$D$58="NPK solubles"),"",VLOOKUP($D$58,FERTILIZANTES!$H$12:$K$30,4,FALSE))</f>
        <v>0</v>
      </c>
      <c r="E62" s="35"/>
    </row>
    <row r="63" spans="1:5" s="67" customFormat="1" x14ac:dyDescent="0.3">
      <c r="A63" s="35"/>
      <c r="B63" s="217"/>
      <c r="C63" s="35"/>
      <c r="D63" s="224"/>
      <c r="E63" s="35"/>
    </row>
    <row r="64" spans="1:5" x14ac:dyDescent="0.3">
      <c r="A64" s="35"/>
      <c r="B64" s="231" t="s">
        <v>340</v>
      </c>
      <c r="C64" s="220" t="s">
        <v>343</v>
      </c>
      <c r="D64" s="247" t="s">
        <v>266</v>
      </c>
      <c r="E64" s="35"/>
    </row>
    <row r="65" spans="1:5" x14ac:dyDescent="0.3">
      <c r="A65" s="35"/>
      <c r="B65" s="231" t="s">
        <v>347</v>
      </c>
      <c r="C65" s="220" t="s">
        <v>253</v>
      </c>
      <c r="D65" s="247">
        <v>0</v>
      </c>
      <c r="E65" s="35"/>
    </row>
    <row r="66" spans="1:5" x14ac:dyDescent="0.3">
      <c r="A66" s="35"/>
      <c r="B66" s="231" t="s">
        <v>348</v>
      </c>
      <c r="C66" s="220" t="s">
        <v>1</v>
      </c>
      <c r="D66" s="247">
        <f>IF(OR($D$64="NPK granulados",$D$64="NPK solubles"),"",VLOOKUP($D$64,FERTILIZANTES!$H$12:$K$30,2,FALSE))</f>
        <v>0</v>
      </c>
      <c r="E66" s="35"/>
    </row>
    <row r="67" spans="1:5" x14ac:dyDescent="0.3">
      <c r="A67" s="35"/>
      <c r="B67" s="231" t="s">
        <v>349</v>
      </c>
      <c r="C67" s="220" t="s">
        <v>1</v>
      </c>
      <c r="D67" s="247">
        <f>IF(OR($D$64="NPK granulados",$D$64="NPK solubles"),"",VLOOKUP($D$64,FERTILIZANTES!$H$12:$K$30,3,FALSE))</f>
        <v>0</v>
      </c>
      <c r="E67" s="35"/>
    </row>
    <row r="68" spans="1:5" x14ac:dyDescent="0.3">
      <c r="A68" s="35"/>
      <c r="B68" s="231" t="s">
        <v>350</v>
      </c>
      <c r="C68" s="220" t="s">
        <v>1</v>
      </c>
      <c r="D68" s="247">
        <f>IF(OR($D$64="NPK granulados",$D$64="NPK solubles"),"",VLOOKUP($D$64,FERTILIZANTES!$H$12:$K$30,4,FALSE))</f>
        <v>0</v>
      </c>
      <c r="E68" s="35"/>
    </row>
    <row r="69" spans="1:5" s="67" customFormat="1" x14ac:dyDescent="0.3">
      <c r="A69" s="35"/>
      <c r="B69" s="217"/>
      <c r="C69" s="35"/>
      <c r="D69" s="224"/>
      <c r="E69" s="35"/>
    </row>
    <row r="70" spans="1:5" x14ac:dyDescent="0.3">
      <c r="A70" s="35"/>
      <c r="B70" s="231" t="s">
        <v>341</v>
      </c>
      <c r="C70" s="220" t="s">
        <v>343</v>
      </c>
      <c r="D70" s="247" t="s">
        <v>266</v>
      </c>
      <c r="E70" s="35"/>
    </row>
    <row r="71" spans="1:5" x14ac:dyDescent="0.3">
      <c r="A71" s="35"/>
      <c r="B71" s="231" t="s">
        <v>347</v>
      </c>
      <c r="C71" s="220" t="s">
        <v>253</v>
      </c>
      <c r="D71" s="247">
        <v>0</v>
      </c>
      <c r="E71" s="35"/>
    </row>
    <row r="72" spans="1:5" x14ac:dyDescent="0.3">
      <c r="A72" s="35"/>
      <c r="B72" s="231" t="s">
        <v>348</v>
      </c>
      <c r="C72" s="220" t="s">
        <v>1</v>
      </c>
      <c r="D72" s="247">
        <f>IF(OR($D$70="NPK granulados",$D$70="NPK solubles"),"",VLOOKUP($D$70,FERTILIZANTES!$H$12:$K$30,2,FALSE))</f>
        <v>0</v>
      </c>
      <c r="E72" s="35"/>
    </row>
    <row r="73" spans="1:5" x14ac:dyDescent="0.3">
      <c r="A73" s="35"/>
      <c r="B73" s="231" t="s">
        <v>349</v>
      </c>
      <c r="C73" s="220" t="s">
        <v>1</v>
      </c>
      <c r="D73" s="247">
        <f>IF(OR($D$70="NPK granulados",$D$70="NPK solubles"),"",VLOOKUP($D$70,FERTILIZANTES!$H$12:$K$30,3,FALSE))</f>
        <v>0</v>
      </c>
      <c r="E73" s="35"/>
    </row>
    <row r="74" spans="1:5" x14ac:dyDescent="0.3">
      <c r="A74" s="35"/>
      <c r="B74" s="231" t="s">
        <v>350</v>
      </c>
      <c r="C74" s="220" t="s">
        <v>1</v>
      </c>
      <c r="D74" s="247">
        <f>IF(OR($D$70="NPK granulados",$D$70="NPK solubles"),"",VLOOKUP($D$70,FERTILIZANTES!$H$12:$K$30,4,FALSE))</f>
        <v>0</v>
      </c>
      <c r="E74" s="35"/>
    </row>
    <row r="75" spans="1:5" s="67" customFormat="1" x14ac:dyDescent="0.3">
      <c r="A75" s="35"/>
      <c r="B75" s="217"/>
      <c r="C75" s="35"/>
      <c r="D75" s="224"/>
      <c r="E75" s="35"/>
    </row>
    <row r="76" spans="1:5" x14ac:dyDescent="0.3">
      <c r="A76" s="35"/>
      <c r="B76" s="231" t="s">
        <v>344</v>
      </c>
      <c r="C76" s="220" t="s">
        <v>343</v>
      </c>
      <c r="D76" s="247" t="s">
        <v>266</v>
      </c>
      <c r="E76" s="35"/>
    </row>
    <row r="77" spans="1:5" x14ac:dyDescent="0.3">
      <c r="A77" s="35"/>
      <c r="B77" s="231" t="s">
        <v>347</v>
      </c>
      <c r="C77" s="220" t="s">
        <v>253</v>
      </c>
      <c r="D77" s="247">
        <v>0</v>
      </c>
      <c r="E77" s="35"/>
    </row>
    <row r="78" spans="1:5" x14ac:dyDescent="0.3">
      <c r="A78" s="35"/>
      <c r="B78" s="231" t="s">
        <v>348</v>
      </c>
      <c r="C78" s="220" t="s">
        <v>1</v>
      </c>
      <c r="D78" s="247">
        <f>IF(OR($D$76="NPK granulados",$D$76="NPK solubles"),"",VLOOKUP($D$76,FERTILIZANTES!$H$12:$K$30,2,FALSE))</f>
        <v>0</v>
      </c>
      <c r="E78" s="35"/>
    </row>
    <row r="79" spans="1:5" x14ac:dyDescent="0.3">
      <c r="A79" s="35"/>
      <c r="B79" s="231" t="s">
        <v>349</v>
      </c>
      <c r="C79" s="220" t="s">
        <v>1</v>
      </c>
      <c r="D79" s="247">
        <f>IF(OR($D$76="NPK granulados",$D$76="NPK solubles"),"",VLOOKUP($D$76,FERTILIZANTES!$H$12:$K$30,3,FALSE))</f>
        <v>0</v>
      </c>
      <c r="E79" s="35"/>
    </row>
    <row r="80" spans="1:5" x14ac:dyDescent="0.3">
      <c r="A80" s="35"/>
      <c r="B80" s="231" t="s">
        <v>350</v>
      </c>
      <c r="C80" s="220" t="s">
        <v>1</v>
      </c>
      <c r="D80" s="247">
        <f>IF(OR($D$76="NPK granulados",$D$76="NPK solubles"),"",VLOOKUP($D$76,FERTILIZANTES!$H$12:$K$30,4,FALSE))</f>
        <v>0</v>
      </c>
      <c r="E80" s="35"/>
    </row>
    <row r="81" spans="1:5" s="67" customFormat="1" x14ac:dyDescent="0.3">
      <c r="A81" s="35"/>
      <c r="B81" s="217"/>
      <c r="C81" s="35"/>
      <c r="D81" s="224"/>
      <c r="E81" s="35"/>
    </row>
    <row r="82" spans="1:5" s="67" customFormat="1" ht="15" thickBot="1" x14ac:dyDescent="0.35">
      <c r="A82" s="35"/>
      <c r="B82" s="35"/>
      <c r="C82" s="35"/>
      <c r="D82" s="35"/>
      <c r="E82" s="35"/>
    </row>
    <row r="83" spans="1:5" ht="24" thickBot="1" x14ac:dyDescent="0.5">
      <c r="A83" s="35"/>
      <c r="B83" s="284" t="s">
        <v>351</v>
      </c>
      <c r="C83" s="285"/>
      <c r="D83" s="286"/>
      <c r="E83" s="226"/>
    </row>
    <row r="84" spans="1:5" s="67" customFormat="1" x14ac:dyDescent="0.3">
      <c r="A84" s="35"/>
      <c r="B84" s="229"/>
      <c r="E84" s="35"/>
    </row>
    <row r="85" spans="1:5" s="67" customFormat="1" x14ac:dyDescent="0.3">
      <c r="A85" s="35"/>
      <c r="B85" s="229"/>
      <c r="C85" s="218" t="s">
        <v>319</v>
      </c>
      <c r="D85" s="219" t="s">
        <v>321</v>
      </c>
      <c r="E85" s="35"/>
    </row>
    <row r="86" spans="1:5" s="67" customFormat="1" ht="16.2" x14ac:dyDescent="0.3">
      <c r="A86" s="35"/>
      <c r="B86" s="230" t="s">
        <v>352</v>
      </c>
      <c r="C86" s="220" t="s">
        <v>254</v>
      </c>
      <c r="D86" s="246"/>
    </row>
    <row r="87" spans="1:5" x14ac:dyDescent="0.3">
      <c r="A87" s="35"/>
      <c r="B87" s="283" t="s">
        <v>353</v>
      </c>
      <c r="C87" s="283"/>
      <c r="D87" s="245" t="s">
        <v>266</v>
      </c>
      <c r="E87" s="35"/>
    </row>
    <row r="88" spans="1:5" x14ac:dyDescent="0.3">
      <c r="A88" s="35"/>
      <c r="B88" s="220" t="s">
        <v>354</v>
      </c>
      <c r="C88" s="220" t="s">
        <v>1</v>
      </c>
      <c r="D88" s="245" t="s">
        <v>266</v>
      </c>
      <c r="E88" s="35"/>
    </row>
    <row r="89" spans="1:5" x14ac:dyDescent="0.3">
      <c r="A89" s="35"/>
      <c r="B89" s="220" t="s">
        <v>355</v>
      </c>
      <c r="C89" s="220" t="s">
        <v>1</v>
      </c>
      <c r="D89" s="245" t="s">
        <v>266</v>
      </c>
      <c r="E89" s="35"/>
    </row>
    <row r="90" spans="1:5" x14ac:dyDescent="0.3">
      <c r="A90" s="35"/>
      <c r="B90" s="283" t="s">
        <v>356</v>
      </c>
      <c r="C90" s="283"/>
      <c r="D90" s="245" t="s">
        <v>266</v>
      </c>
      <c r="E90" s="35"/>
    </row>
    <row r="91" spans="1:5" ht="15" thickBot="1" x14ac:dyDescent="0.35">
      <c r="A91" s="35"/>
      <c r="B91" s="74"/>
      <c r="C91" s="200"/>
      <c r="D91" s="74"/>
      <c r="E91" s="35"/>
    </row>
    <row r="92" spans="1:5" ht="24" thickBot="1" x14ac:dyDescent="0.5">
      <c r="A92" s="35"/>
      <c r="B92" s="287" t="s">
        <v>357</v>
      </c>
      <c r="C92" s="288"/>
      <c r="D92" s="289"/>
      <c r="E92" s="227"/>
    </row>
    <row r="93" spans="1:5" s="67" customFormat="1" x14ac:dyDescent="0.3">
      <c r="A93" s="35"/>
      <c r="B93" s="35"/>
      <c r="E93" s="35"/>
    </row>
    <row r="94" spans="1:5" s="67" customFormat="1" x14ac:dyDescent="0.3">
      <c r="A94" s="35"/>
      <c r="B94" s="35"/>
      <c r="C94" s="218"/>
      <c r="D94" s="239"/>
      <c r="E94" s="35"/>
    </row>
    <row r="95" spans="1:5" s="67" customFormat="1" x14ac:dyDescent="0.3">
      <c r="A95" s="35"/>
      <c r="B95" s="35"/>
      <c r="C95" s="218"/>
      <c r="D95" s="239"/>
      <c r="E95" s="35"/>
    </row>
    <row r="96" spans="1:5" s="67" customFormat="1" x14ac:dyDescent="0.3">
      <c r="A96" s="35"/>
      <c r="B96" s="35"/>
      <c r="C96" s="218"/>
      <c r="D96" s="239"/>
      <c r="E96" s="35"/>
    </row>
    <row r="97" spans="1:5" s="67" customFormat="1" x14ac:dyDescent="0.3">
      <c r="A97" s="35"/>
      <c r="B97" s="35"/>
      <c r="C97" s="218"/>
      <c r="D97" s="239"/>
      <c r="E97" s="35"/>
    </row>
    <row r="98" spans="1:5" s="67" customFormat="1" x14ac:dyDescent="0.3">
      <c r="A98" s="35"/>
      <c r="B98" s="35"/>
      <c r="C98" s="218"/>
      <c r="D98" s="239"/>
      <c r="E98" s="35"/>
    </row>
    <row r="99" spans="1:5" s="67" customFormat="1" x14ac:dyDescent="0.3">
      <c r="A99" s="35"/>
      <c r="B99" s="35"/>
      <c r="C99" s="218"/>
      <c r="D99" s="239"/>
      <c r="E99" s="35"/>
    </row>
    <row r="100" spans="1:5" s="67" customFormat="1" x14ac:dyDescent="0.3">
      <c r="A100" s="35"/>
      <c r="B100" s="35"/>
      <c r="C100" s="218"/>
      <c r="D100" s="239"/>
      <c r="E100" s="35"/>
    </row>
    <row r="101" spans="1:5" s="67" customFormat="1" ht="18" x14ac:dyDescent="0.35">
      <c r="A101" s="35"/>
      <c r="B101" s="236" t="s">
        <v>8</v>
      </c>
      <c r="C101" s="218" t="s">
        <v>319</v>
      </c>
      <c r="D101" s="239" t="s">
        <v>320</v>
      </c>
      <c r="E101" s="35"/>
    </row>
    <row r="102" spans="1:5" x14ac:dyDescent="0.3">
      <c r="A102" s="35"/>
      <c r="B102" s="242" t="s">
        <v>358</v>
      </c>
      <c r="C102" s="243" t="s">
        <v>361</v>
      </c>
      <c r="D102" s="214" t="e">
        <f>'Balance de Nutrientes oculto'!AB33</f>
        <v>#VALUE!</v>
      </c>
      <c r="E102" s="35"/>
    </row>
    <row r="103" spans="1:5" x14ac:dyDescent="0.3">
      <c r="A103" s="35"/>
      <c r="B103" s="242" t="s">
        <v>359</v>
      </c>
      <c r="C103" s="243" t="s">
        <v>362</v>
      </c>
      <c r="D103" s="214" t="e">
        <f>'Balance de Nutrientes oculto'!AB34</f>
        <v>#VALUE!</v>
      </c>
      <c r="E103" s="35"/>
    </row>
    <row r="104" spans="1:5" x14ac:dyDescent="0.3">
      <c r="A104" s="35"/>
      <c r="B104" s="242" t="s">
        <v>360</v>
      </c>
      <c r="C104" s="243" t="s">
        <v>363</v>
      </c>
      <c r="D104" s="214" t="e">
        <f>'Balance de Nutrientes oculto'!AB35</f>
        <v>#VALUE!</v>
      </c>
      <c r="E104" s="35"/>
    </row>
    <row r="105" spans="1:5" s="67" customFormat="1" x14ac:dyDescent="0.3">
      <c r="A105" s="35"/>
      <c r="B105" s="237"/>
      <c r="C105" s="237"/>
      <c r="D105" s="241"/>
      <c r="E105" s="35"/>
    </row>
    <row r="106" spans="1:5" s="67" customFormat="1" ht="18" x14ac:dyDescent="0.35">
      <c r="A106" s="35"/>
      <c r="B106" s="236" t="s">
        <v>364</v>
      </c>
      <c r="C106" s="35"/>
      <c r="D106" s="240"/>
      <c r="E106" s="35"/>
    </row>
    <row r="107" spans="1:5" x14ac:dyDescent="0.3">
      <c r="A107" s="35"/>
      <c r="B107" s="244" t="s">
        <v>365</v>
      </c>
      <c r="C107" s="243" t="s">
        <v>361</v>
      </c>
      <c r="D107" s="213">
        <f>'Balance de Nutrientes oculto'!G16</f>
        <v>0</v>
      </c>
    </row>
    <row r="108" spans="1:5" x14ac:dyDescent="0.3">
      <c r="A108" s="35"/>
      <c r="B108" s="244" t="s">
        <v>366</v>
      </c>
      <c r="C108" s="243" t="s">
        <v>362</v>
      </c>
      <c r="D108" s="213">
        <f>'Balance de Nutrientes oculto'!G17</f>
        <v>0</v>
      </c>
    </row>
    <row r="109" spans="1:5" x14ac:dyDescent="0.3">
      <c r="A109" s="35"/>
      <c r="B109" s="244" t="s">
        <v>367</v>
      </c>
      <c r="C109" s="243" t="s">
        <v>363</v>
      </c>
      <c r="D109" s="213">
        <f>'Balance de Nutrientes oculto'!G18</f>
        <v>0</v>
      </c>
    </row>
    <row r="110" spans="1:5" ht="15" thickBot="1" x14ac:dyDescent="0.35">
      <c r="A110" s="35"/>
      <c r="B110" s="35"/>
      <c r="C110" s="35"/>
      <c r="D110" s="35"/>
    </row>
    <row r="111" spans="1:5" ht="24" thickBot="1" x14ac:dyDescent="0.5">
      <c r="A111" s="35"/>
      <c r="B111" s="287" t="s">
        <v>368</v>
      </c>
      <c r="C111" s="288"/>
      <c r="D111" s="289"/>
      <c r="E111" s="228"/>
    </row>
    <row r="112" spans="1:5" s="67" customFormat="1" ht="15" thickBot="1" x14ac:dyDescent="0.35">
      <c r="A112" s="35"/>
      <c r="B112" s="35"/>
      <c r="C112" s="218"/>
      <c r="D112" s="218"/>
      <c r="E112" s="35"/>
    </row>
    <row r="113" spans="1:5" ht="46.8" customHeight="1" thickBot="1" x14ac:dyDescent="0.35">
      <c r="A113" s="35"/>
      <c r="B113" s="215"/>
      <c r="C113" s="274" t="e">
        <f>IF(D102&gt;20,
"Significant N excess. Reduce the dose next year by around 20–40%, avoiding exceeding 150 kg N/ha.",
IF(D102&gt;10,
"Slight N excess. Reduce the dose next year by around 10–20%.",
IF(D102&gt;=-10,
"Adequate N level. Maintain the current fertilization plan.",
IF(D102&gt;=-20,
"Slight N deficit. Slightly increase the N dose. A simple rule is to apply 5 kg N per ton of olives produced.",
"High N deficit. Increase the N dose. A simple rule is to apply 5 kg N per ton of olives produced."
))))</f>
        <v>#VALUE!</v>
      </c>
      <c r="D113" s="275"/>
      <c r="E113" s="35"/>
    </row>
    <row r="114" spans="1:5" ht="46.8" customHeight="1" thickBot="1" x14ac:dyDescent="0.35">
      <c r="A114" s="35"/>
      <c r="B114" s="215"/>
      <c r="C114" s="274" t="e">
        <f>IF(D103&gt;5,
"P excess. It is advisable not to apply P in the next season or only a small maintenance dose.",
IF(D103&gt;=-5,
"Adequate P level. Maintain the current practice.",
"P deficit. It is advisable to replenish some P, at a rate of 10–20 kg/ha (23–46 kg P₂O₅/ha)."
))</f>
        <v>#VALUE!</v>
      </c>
      <c r="D114" s="275"/>
      <c r="E114" s="35"/>
    </row>
    <row r="115" spans="1:5" ht="46.8" customHeight="1" thickBot="1" x14ac:dyDescent="0.35">
      <c r="A115" s="35"/>
      <c r="B115" s="215"/>
      <c r="C115" s="274" t="e">
        <f>IF(D104&gt;20,
"K excess. Reduce the K dose by 10–30%, especially if the last harvest was low.",
IF(D104&gt;=-20,
"Adequate K level. Maintain the current practice.",
"K deficit. Apply 50–100 kg K/ha (60–120 kg K₂O/ha). As a general rule, add 10 kg of K per ton of olives produced."
))</f>
        <v>#VALUE!</v>
      </c>
      <c r="D115" s="275"/>
      <c r="E115" s="35"/>
    </row>
    <row r="116" spans="1:5" s="67" customFormat="1" x14ac:dyDescent="0.3">
      <c r="A116" s="35"/>
      <c r="B116" s="35"/>
      <c r="C116" s="218"/>
      <c r="D116" s="218"/>
      <c r="E116" s="35"/>
    </row>
    <row r="117" spans="1:5" x14ac:dyDescent="0.3"/>
    <row r="136" ht="18" hidden="1" customHeight="1" x14ac:dyDescent="0.3"/>
    <row r="137" ht="13.2" hidden="1" customHeight="1" x14ac:dyDescent="0.3"/>
  </sheetData>
  <sheetProtection algorithmName="SHA-512" hashValue="h4z90pupM48mDUHrlBlf2H2kCUfTtrLniKnRVyM3bgRqwrPGgKV7fGB1IRedu9H58lOb7LWbld+Z8mW6FVYIlQ==" saltValue="6ldJAQIlF/w8qnvA0EGexQ==" spinCount="100000" sheet="1" objects="1" scenarios="1"/>
  <mergeCells count="21">
    <mergeCell ref="B2:D2"/>
    <mergeCell ref="B3:D3"/>
    <mergeCell ref="B4:D4"/>
    <mergeCell ref="B28:C28"/>
    <mergeCell ref="B26:C26"/>
    <mergeCell ref="B27:C27"/>
    <mergeCell ref="B6:D6"/>
    <mergeCell ref="C113:D113"/>
    <mergeCell ref="C114:D114"/>
    <mergeCell ref="C115:D115"/>
    <mergeCell ref="B9:D9"/>
    <mergeCell ref="B8:D8"/>
    <mergeCell ref="B10:D10"/>
    <mergeCell ref="B12:D12"/>
    <mergeCell ref="B87:C87"/>
    <mergeCell ref="B90:C90"/>
    <mergeCell ref="B20:D20"/>
    <mergeCell ref="B92:D92"/>
    <mergeCell ref="B83:D83"/>
    <mergeCell ref="B111:D111"/>
    <mergeCell ref="B45:D45"/>
  </mergeCells>
  <conditionalFormatting sqref="D102">
    <cfRule type="cellIs" dxfId="20" priority="7" operator="lessThan">
      <formula>-20</formula>
    </cfRule>
    <cfRule type="cellIs" dxfId="19" priority="8" operator="between">
      <formula>-20</formula>
      <formula>-10</formula>
    </cfRule>
    <cfRule type="cellIs" dxfId="18" priority="9" operator="between">
      <formula>-10</formula>
      <formula>10</formula>
    </cfRule>
    <cfRule type="cellIs" dxfId="17" priority="10" operator="between">
      <formula>10</formula>
      <formula>20</formula>
    </cfRule>
    <cfRule type="cellIs" dxfId="16" priority="11" operator="greaterThan">
      <formula>20</formula>
    </cfRule>
  </conditionalFormatting>
  <conditionalFormatting sqref="D103">
    <cfRule type="cellIs" dxfId="15" priority="4" operator="lessThan">
      <formula>-5</formula>
    </cfRule>
    <cfRule type="cellIs" dxfId="14" priority="5" operator="between">
      <formula>-5</formula>
      <formula>5</formula>
    </cfRule>
    <cfRule type="cellIs" dxfId="13" priority="6" operator="greaterThan">
      <formula>5</formula>
    </cfRule>
  </conditionalFormatting>
  <conditionalFormatting sqref="D104">
    <cfRule type="cellIs" dxfId="12" priority="1" operator="lessThan">
      <formula>-20</formula>
    </cfRule>
    <cfRule type="cellIs" dxfId="11" priority="2" operator="between">
      <formula>-20</formula>
      <formula>20</formula>
    </cfRule>
    <cfRule type="cellIs" dxfId="10" priority="3" operator="greaterThan">
      <formula>20</formula>
    </cfRule>
  </conditionalFormatting>
  <pageMargins left="0.7" right="0.7" top="0.75" bottom="0.75" header="0.3" footer="0.3"/>
  <pageSetup paperSize="9" orientation="portrait" r:id="rId1"/>
  <ignoredErrors>
    <ignoredError sqref="D103:D104" evalError="1"/>
    <ignoredError sqref="D72:D74 D78:D80" unlockedFormula="1"/>
  </ignoredErrors>
  <drawing r:id="rId2"/>
  <picture r:id="rId3"/>
  <extLst>
    <ext xmlns:x14="http://schemas.microsoft.com/office/spreadsheetml/2009/9/main" uri="{CCE6A557-97BC-4b89-ADB6-D9C93CAAB3DF}">
      <x14:dataValidations xmlns:xm="http://schemas.microsoft.com/office/excel/2006/main" count="10">
        <x14:dataValidation type="list" allowBlank="1" showInputMessage="1" showErrorMessage="1" xr:uid="{6964848D-76EF-466B-877A-BD0899FF67A8}">
          <x14:formula1>
            <xm:f>FERTILIZANTES!$B$43:$B$45</xm:f>
          </x14:formula1>
          <xm:sqref>D87</xm:sqref>
        </x14:dataValidation>
        <x14:dataValidation type="list" allowBlank="1" showInputMessage="1" showErrorMessage="1" xr:uid="{159802C8-CFD2-47FD-AD69-E01F4E94AAE9}">
          <x14:formula1>
            <xm:f>FERTILIZANTES!$E$38:$E$40</xm:f>
          </x14:formula1>
          <xm:sqref>D28</xm:sqref>
        </x14:dataValidation>
        <x14:dataValidation type="list" allowBlank="1" showInputMessage="1" showErrorMessage="1" xr:uid="{87A812B7-2EA1-4BA2-9AF8-BD2AF31A2D3A}">
          <x14:formula1>
            <xm:f>FERTILIZANTES!$H$13:$H$29</xm:f>
          </x14:formula1>
          <xm:sqref>D46 D76 D70 D64 D58 D52</xm:sqref>
        </x14:dataValidation>
        <x14:dataValidation type="list" allowBlank="1" showInputMessage="1" showErrorMessage="1" xr:uid="{19C47F61-3E32-4766-8D66-11B534DD2F8B}">
          <x14:formula1>
            <xm:f>FERTILIZANTES!$E$3:$E$6</xm:f>
          </x14:formula1>
          <xm:sqref>D27</xm:sqref>
        </x14:dataValidation>
        <x14:dataValidation type="list" allowBlank="1" showInputMessage="1" showErrorMessage="1" xr:uid="{20337EE5-4863-4493-BB26-4CF644D78737}">
          <x14:formula1>
            <xm:f>FERTILIZANTES!$C$3:$C$7</xm:f>
          </x14:formula1>
          <xm:sqref>D26</xm:sqref>
        </x14:dataValidation>
        <x14:dataValidation type="list" allowBlank="1" showInputMessage="1" showErrorMessage="1" xr:uid="{3FEF86D6-B198-401C-9E49-F5F262F17065}">
          <x14:formula1>
            <xm:f>FERTILIZANTES!$B$3:$B$5</xm:f>
          </x14:formula1>
          <xm:sqref>D25</xm:sqref>
        </x14:dataValidation>
        <x14:dataValidation type="list" allowBlank="1" showInputMessage="1" showErrorMessage="1" xr:uid="{EAFAD062-1011-4016-8099-192DEC41B27C}">
          <x14:formula1>
            <xm:f>FERTILIZANTES!$E$27:$E$30</xm:f>
          </x14:formula1>
          <xm:sqref>D88</xm:sqref>
        </x14:dataValidation>
        <x14:dataValidation type="list" allowBlank="1" showInputMessage="1" showErrorMessage="1" xr:uid="{BAAE2DA6-50B6-4B8A-9892-F5035815C567}">
          <x14:formula1>
            <xm:f>FERTILIZANTES!$B$34:$B$38</xm:f>
          </x14:formula1>
          <xm:sqref>D90</xm:sqref>
        </x14:dataValidation>
        <x14:dataValidation type="list" allowBlank="1" showInputMessage="1" showErrorMessage="1" xr:uid="{6E323293-3015-4616-96D1-B10F67BBA7F3}">
          <x14:formula1>
            <xm:f>FERTILIZANTES!$B$27:$B$31</xm:f>
          </x14:formula1>
          <xm:sqref>D89</xm:sqref>
        </x14:dataValidation>
        <x14:dataValidation type="list" allowBlank="1" showInputMessage="1" showErrorMessage="1" xr:uid="{558D10B9-4595-46EF-B868-0BFE486357C0}">
          <x14:formula1>
            <xm:f>FERTILIZANTES!$B$12:$B$22</xm:f>
          </x14:formula1>
          <xm:sqref>D39 D36 D33 D30 D42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F9509-15E7-4D03-8907-56BF7DFB9A5E}">
  <dimension ref="B1:AN157"/>
  <sheetViews>
    <sheetView showGridLines="0" topLeftCell="N58" zoomScale="70" zoomScaleNormal="70" workbookViewId="0">
      <selection activeCell="U72" sqref="U72"/>
    </sheetView>
  </sheetViews>
  <sheetFormatPr baseColWidth="10" defaultRowHeight="14.4" x14ac:dyDescent="0.3"/>
  <cols>
    <col min="1" max="1" width="3.44140625" customWidth="1"/>
    <col min="2" max="2" width="4.44140625" customWidth="1"/>
    <col min="4" max="4" width="31.21875" customWidth="1"/>
    <col min="5" max="5" width="13.33203125" customWidth="1"/>
    <col min="6" max="6" width="10.33203125" customWidth="1"/>
    <col min="7" max="7" width="9.33203125" customWidth="1"/>
    <col min="8" max="8" width="4" customWidth="1"/>
    <col min="9" max="9" width="3.88671875" customWidth="1"/>
    <col min="10" max="10" width="3" customWidth="1"/>
    <col min="11" max="11" width="12.6640625" customWidth="1"/>
    <col min="12" max="12" width="108.21875" style="2" customWidth="1"/>
    <col min="13" max="13" width="16.5546875" customWidth="1"/>
    <col min="14" max="14" width="31.77734375" customWidth="1"/>
    <col min="15" max="15" width="4.109375" customWidth="1"/>
    <col min="16" max="16" width="7.44140625" customWidth="1"/>
    <col min="17" max="17" width="5.33203125" customWidth="1"/>
    <col min="18" max="18" width="21.44140625" customWidth="1"/>
    <col min="19" max="19" width="86.33203125" customWidth="1"/>
    <col min="20" max="20" width="16.6640625" customWidth="1"/>
    <col min="21" max="21" width="32.88671875" customWidth="1"/>
    <col min="22" max="22" width="5" customWidth="1"/>
    <col min="23" max="23" width="7.44140625" customWidth="1"/>
    <col min="24" max="24" width="7.33203125" customWidth="1"/>
    <col min="25" max="25" width="21" customWidth="1"/>
    <col min="26" max="26" width="60.77734375" customWidth="1"/>
    <col min="27" max="27" width="13.33203125" bestFit="1" customWidth="1"/>
    <col min="28" max="28" width="12.6640625" customWidth="1"/>
    <col min="29" max="29" width="11.5546875" customWidth="1"/>
    <col min="30" max="30" width="6.33203125" customWidth="1"/>
    <col min="33" max="33" width="33" bestFit="1" customWidth="1"/>
    <col min="34" max="34" width="13" customWidth="1"/>
    <col min="35" max="35" width="20.6640625" customWidth="1"/>
    <col min="36" max="36" width="10.6640625" customWidth="1"/>
    <col min="37" max="37" width="7.21875" customWidth="1"/>
  </cols>
  <sheetData>
    <row r="1" spans="2:30" ht="15" thickBot="1" x14ac:dyDescent="0.35"/>
    <row r="2" spans="2:30" ht="28.8" customHeight="1" x14ac:dyDescent="0.3">
      <c r="B2" s="157"/>
      <c r="C2" s="158" t="s">
        <v>59</v>
      </c>
      <c r="D2" s="158"/>
      <c r="E2" s="158"/>
      <c r="F2" s="158"/>
      <c r="G2" s="158"/>
      <c r="H2" s="158"/>
      <c r="I2" s="158"/>
      <c r="J2" s="158"/>
      <c r="K2" s="158"/>
      <c r="L2" s="158"/>
      <c r="M2" s="158"/>
      <c r="N2" s="159"/>
      <c r="O2" s="35"/>
      <c r="P2" s="35"/>
      <c r="Q2" s="35"/>
      <c r="R2" s="35"/>
    </row>
    <row r="3" spans="2:30" ht="14.4" customHeight="1" x14ac:dyDescent="0.3">
      <c r="B3" s="160"/>
      <c r="C3" s="161"/>
      <c r="D3" s="161"/>
      <c r="E3" s="161"/>
      <c r="F3" s="161"/>
      <c r="G3" s="161"/>
      <c r="H3" s="161"/>
      <c r="I3" s="161"/>
      <c r="J3" s="161"/>
      <c r="K3" s="161"/>
      <c r="L3" s="161"/>
      <c r="M3" s="161"/>
      <c r="N3" s="162"/>
      <c r="O3" s="35"/>
      <c r="P3" s="35"/>
      <c r="Q3" s="35"/>
      <c r="R3" s="35"/>
    </row>
    <row r="4" spans="2:30" ht="14.4" customHeight="1" x14ac:dyDescent="0.3">
      <c r="B4" s="160"/>
      <c r="C4" s="161"/>
      <c r="D4" s="161"/>
      <c r="E4" s="161"/>
      <c r="F4" s="161"/>
      <c r="G4" s="161"/>
      <c r="H4" s="161"/>
      <c r="I4" s="161"/>
      <c r="J4" s="161"/>
      <c r="K4" s="161"/>
      <c r="L4" s="161"/>
      <c r="M4" s="161"/>
      <c r="N4" s="162"/>
      <c r="O4" s="35"/>
      <c r="P4" s="35"/>
      <c r="Q4" s="35"/>
      <c r="R4" s="35"/>
    </row>
    <row r="5" spans="2:30" ht="15" customHeight="1" thickBot="1" x14ac:dyDescent="0.35">
      <c r="B5" s="163"/>
      <c r="C5" s="164"/>
      <c r="D5" s="164"/>
      <c r="E5" s="164"/>
      <c r="F5" s="164"/>
      <c r="G5" s="164"/>
      <c r="H5" s="164"/>
      <c r="I5" s="164"/>
      <c r="J5" s="164"/>
      <c r="K5" s="164"/>
      <c r="L5" s="164"/>
      <c r="M5" s="164"/>
      <c r="N5" s="165"/>
      <c r="O5" s="35"/>
      <c r="P5" s="35"/>
      <c r="Q5" s="35"/>
      <c r="R5" s="35"/>
    </row>
    <row r="6" spans="2:30" s="4" customFormat="1" ht="15" thickBot="1" x14ac:dyDescent="0.35">
      <c r="J6" s="6"/>
      <c r="K6" s="6"/>
      <c r="L6" s="5"/>
      <c r="M6" s="6"/>
      <c r="N6" s="6"/>
      <c r="O6" s="6"/>
      <c r="X6" s="6"/>
      <c r="Y6" s="6"/>
      <c r="Z6" s="5"/>
      <c r="AA6" s="6"/>
      <c r="AB6" s="6"/>
      <c r="AC6" s="6"/>
    </row>
    <row r="7" spans="2:30" ht="15" thickTop="1" x14ac:dyDescent="0.3">
      <c r="B7" s="129"/>
      <c r="C7" s="130"/>
      <c r="D7" s="131"/>
      <c r="E7" s="130"/>
      <c r="F7" s="130"/>
      <c r="G7" s="130"/>
      <c r="H7" s="132"/>
      <c r="J7" s="129"/>
      <c r="K7" s="130"/>
      <c r="L7" s="131"/>
      <c r="M7" s="130"/>
      <c r="N7" s="130"/>
      <c r="O7" s="132"/>
      <c r="Q7" s="129"/>
      <c r="R7" s="130"/>
      <c r="S7" s="130"/>
      <c r="T7" s="130"/>
      <c r="U7" s="130"/>
      <c r="V7" s="132"/>
      <c r="X7" s="129"/>
      <c r="Y7" s="130"/>
      <c r="Z7" s="131"/>
      <c r="AA7" s="130"/>
      <c r="AB7" s="130"/>
      <c r="AC7" s="130"/>
      <c r="AD7" s="132"/>
    </row>
    <row r="8" spans="2:30" ht="23.4" x14ac:dyDescent="0.45">
      <c r="B8" s="133"/>
      <c r="C8" s="314" t="s">
        <v>171</v>
      </c>
      <c r="D8" s="314"/>
      <c r="E8" s="314"/>
      <c r="F8" s="314"/>
      <c r="G8" s="155"/>
      <c r="H8" s="134"/>
      <c r="J8" s="133"/>
      <c r="K8" s="315" t="s">
        <v>11</v>
      </c>
      <c r="L8" s="316"/>
      <c r="M8" s="316"/>
      <c r="N8" s="316"/>
      <c r="O8" s="134"/>
      <c r="Q8" s="133"/>
      <c r="R8" s="317" t="s">
        <v>44</v>
      </c>
      <c r="S8" s="317"/>
      <c r="T8" s="317"/>
      <c r="U8" s="317"/>
      <c r="V8" s="134"/>
      <c r="X8" s="133"/>
      <c r="Y8" s="318" t="s">
        <v>248</v>
      </c>
      <c r="Z8" s="318"/>
      <c r="AA8" s="318"/>
      <c r="AB8" s="318"/>
      <c r="AC8" s="16"/>
      <c r="AD8" s="134"/>
    </row>
    <row r="9" spans="2:30" ht="24" customHeight="1" x14ac:dyDescent="0.3">
      <c r="B9" s="133"/>
      <c r="C9" s="16"/>
      <c r="D9" s="16"/>
      <c r="E9" s="16"/>
      <c r="F9" s="16"/>
      <c r="G9" s="16"/>
      <c r="H9" s="134"/>
      <c r="J9" s="133"/>
      <c r="K9" s="11"/>
      <c r="L9" s="12"/>
      <c r="M9" s="12" t="s">
        <v>13</v>
      </c>
      <c r="N9" s="13" t="s">
        <v>14</v>
      </c>
      <c r="O9" s="134"/>
      <c r="Q9" s="133"/>
      <c r="R9" s="11"/>
      <c r="S9" s="12"/>
      <c r="T9" s="12" t="s">
        <v>13</v>
      </c>
      <c r="U9" s="13" t="s">
        <v>14</v>
      </c>
      <c r="V9" s="134"/>
      <c r="X9" s="133"/>
      <c r="Y9" s="16"/>
      <c r="Z9" s="12"/>
      <c r="AA9" s="12" t="s">
        <v>13</v>
      </c>
      <c r="AB9" s="13" t="s">
        <v>14</v>
      </c>
      <c r="AC9" s="16"/>
      <c r="AD9" s="134"/>
    </row>
    <row r="10" spans="2:30" ht="18" x14ac:dyDescent="0.35">
      <c r="B10" s="133"/>
      <c r="C10" s="16"/>
      <c r="D10" s="12"/>
      <c r="E10" s="12" t="s">
        <v>13</v>
      </c>
      <c r="F10" s="166"/>
      <c r="G10" s="13" t="s">
        <v>14</v>
      </c>
      <c r="H10" s="134"/>
      <c r="J10" s="133"/>
      <c r="K10" s="14" t="s">
        <v>12</v>
      </c>
      <c r="L10" s="15"/>
      <c r="M10" s="16"/>
      <c r="N10" s="16"/>
      <c r="O10" s="134"/>
      <c r="P10" s="1"/>
      <c r="Q10" s="133"/>
      <c r="R10" s="46" t="s">
        <v>45</v>
      </c>
      <c r="S10" s="53"/>
      <c r="T10" s="11"/>
      <c r="U10" s="16"/>
      <c r="V10" s="134"/>
      <c r="X10" s="133"/>
      <c r="Y10" s="55" t="s">
        <v>133</v>
      </c>
      <c r="Z10" s="15"/>
      <c r="AA10" s="16"/>
      <c r="AB10" s="16"/>
      <c r="AC10" s="16"/>
      <c r="AD10" s="134"/>
    </row>
    <row r="11" spans="2:30" ht="18" x14ac:dyDescent="0.35">
      <c r="B11" s="133"/>
      <c r="C11" s="55"/>
      <c r="D11" s="15"/>
      <c r="E11" s="16"/>
      <c r="F11" s="16"/>
      <c r="G11" s="16"/>
      <c r="H11" s="134"/>
      <c r="J11" s="133"/>
      <c r="K11" s="17"/>
      <c r="L11" s="18" t="s">
        <v>16</v>
      </c>
      <c r="M11" s="19" t="s">
        <v>0</v>
      </c>
      <c r="N11" s="8">
        <f>'Balance de Nutrientes'!D86</f>
        <v>0</v>
      </c>
      <c r="O11" s="134"/>
      <c r="P11" s="3"/>
      <c r="Q11" s="133"/>
      <c r="R11" s="17"/>
      <c r="S11" s="28" t="s">
        <v>54</v>
      </c>
      <c r="T11" s="19" t="s">
        <v>51</v>
      </c>
      <c r="U11" s="10">
        <f>'Balance de Nutrientes'!D18</f>
        <v>0</v>
      </c>
      <c r="V11" s="139"/>
      <c r="X11" s="133"/>
      <c r="Y11" s="30"/>
      <c r="Z11" s="19" t="s">
        <v>135</v>
      </c>
      <c r="AA11" s="19" t="s">
        <v>140</v>
      </c>
      <c r="AB11" s="56">
        <f>IF(OR(ISBLANK(G12),G12&lt;=0),0,SUM(N15,N37,N42))</f>
        <v>0</v>
      </c>
      <c r="AC11" s="16"/>
      <c r="AD11" s="134"/>
    </row>
    <row r="12" spans="2:30" ht="16.2" x14ac:dyDescent="0.3">
      <c r="B12" s="133"/>
      <c r="C12" s="30"/>
      <c r="D12" s="19" t="s">
        <v>172</v>
      </c>
      <c r="E12" s="19" t="s">
        <v>173</v>
      </c>
      <c r="F12" s="19"/>
      <c r="G12" s="10">
        <f>'Balance de Nutrientes'!D15</f>
        <v>0</v>
      </c>
      <c r="H12" s="134"/>
      <c r="J12" s="133"/>
      <c r="K12" s="20"/>
      <c r="L12" s="21" t="s">
        <v>17</v>
      </c>
      <c r="M12" s="16" t="s">
        <v>4</v>
      </c>
      <c r="N12" s="23">
        <v>1.61</v>
      </c>
      <c r="O12" s="134"/>
      <c r="Q12" s="133"/>
      <c r="R12" s="41"/>
      <c r="S12" s="15" t="s">
        <v>122</v>
      </c>
      <c r="T12" s="15" t="s">
        <v>1</v>
      </c>
      <c r="U12" s="84">
        <v>5.1999999999999998E-3</v>
      </c>
      <c r="V12" s="139"/>
      <c r="X12" s="133"/>
      <c r="Y12" s="20"/>
      <c r="Z12" s="16" t="s">
        <v>136</v>
      </c>
      <c r="AA12" s="16" t="s">
        <v>140</v>
      </c>
      <c r="AB12" s="57">
        <f>SUM(N50,N100,N153)</f>
        <v>0</v>
      </c>
      <c r="AC12" s="16"/>
      <c r="AD12" s="134"/>
    </row>
    <row r="13" spans="2:30" ht="16.2" x14ac:dyDescent="0.3">
      <c r="B13" s="133"/>
      <c r="C13" s="20"/>
      <c r="D13" s="16" t="s">
        <v>174</v>
      </c>
      <c r="E13" s="16" t="s">
        <v>179</v>
      </c>
      <c r="F13" s="16"/>
      <c r="G13" s="85">
        <f>'Balance de Nutrientes'!D16</f>
        <v>0</v>
      </c>
      <c r="H13" s="134"/>
      <c r="J13" s="133"/>
      <c r="K13" s="20"/>
      <c r="L13" s="21" t="s">
        <v>60</v>
      </c>
      <c r="M13" s="16" t="s">
        <v>62</v>
      </c>
      <c r="N13" s="23">
        <v>4.5999999999999999E-2</v>
      </c>
      <c r="O13" s="134"/>
      <c r="Q13" s="133"/>
      <c r="R13" s="41"/>
      <c r="S13" s="15" t="s">
        <v>121</v>
      </c>
      <c r="T13" s="15" t="s">
        <v>1</v>
      </c>
      <c r="U13" s="82">
        <v>6.9999999999999999E-4</v>
      </c>
      <c r="V13" s="139"/>
      <c r="X13" s="133"/>
      <c r="Y13" s="20"/>
      <c r="Z13" s="16" t="s">
        <v>149</v>
      </c>
      <c r="AA13" s="16" t="s">
        <v>141</v>
      </c>
      <c r="AB13" s="57">
        <f>IF(OR(ISBLANK(G12),G12&lt;=0),0,SUM(N16,N23))</f>
        <v>0</v>
      </c>
      <c r="AC13" s="16"/>
      <c r="AD13" s="134"/>
    </row>
    <row r="14" spans="2:30" ht="16.2" x14ac:dyDescent="0.3">
      <c r="B14" s="133"/>
      <c r="C14" s="20"/>
      <c r="D14" s="166" t="s">
        <v>201</v>
      </c>
      <c r="E14" s="166" t="s">
        <v>200</v>
      </c>
      <c r="F14" s="166"/>
      <c r="G14" s="85">
        <f>'Balance de Nutrientes'!D17</f>
        <v>0</v>
      </c>
      <c r="H14" s="134"/>
      <c r="J14" s="133"/>
      <c r="K14" s="20"/>
      <c r="L14" s="21" t="s">
        <v>61</v>
      </c>
      <c r="M14" s="16" t="s">
        <v>63</v>
      </c>
      <c r="N14" s="23">
        <v>1.232</v>
      </c>
      <c r="O14" s="134"/>
      <c r="Q14" s="133"/>
      <c r="R14" s="41"/>
      <c r="S14" s="15" t="s">
        <v>120</v>
      </c>
      <c r="T14" s="15" t="s">
        <v>1</v>
      </c>
      <c r="U14" s="82">
        <v>1.06E-2</v>
      </c>
      <c r="V14" s="139"/>
      <c r="X14" s="133"/>
      <c r="Y14" s="20"/>
      <c r="Z14" s="16" t="s">
        <v>150</v>
      </c>
      <c r="AA14" s="16" t="s">
        <v>141</v>
      </c>
      <c r="AB14" s="57">
        <f>SUM(N51,N101,N154)</f>
        <v>0</v>
      </c>
      <c r="AC14" s="16"/>
      <c r="AD14" s="134"/>
    </row>
    <row r="15" spans="2:30" ht="16.2" x14ac:dyDescent="0.3">
      <c r="B15" s="133"/>
      <c r="C15" s="20"/>
      <c r="D15" s="16" t="s">
        <v>175</v>
      </c>
      <c r="E15" s="16" t="s">
        <v>199</v>
      </c>
      <c r="F15" s="119"/>
      <c r="G15" s="193">
        <f>MIN(10000,G12 *IF(G13&lt;=5,1.8,IF(G13&lt;=10,7.1,IF(G13&lt;=20,15.9,IF(G13&lt;=40,20.3,IF(G13&lt;=80,28.5,35))))))</f>
        <v>0</v>
      </c>
      <c r="H15" s="134"/>
      <c r="J15" s="133"/>
      <c r="K15" s="20"/>
      <c r="L15" s="25" t="s">
        <v>20</v>
      </c>
      <c r="M15" s="26" t="s">
        <v>21</v>
      </c>
      <c r="N15" s="27">
        <f>$N$11*10000*N12/1000000</f>
        <v>0</v>
      </c>
      <c r="O15" s="134"/>
      <c r="Q15" s="133"/>
      <c r="R15" s="41"/>
      <c r="S15" s="15" t="s">
        <v>114</v>
      </c>
      <c r="T15" s="15" t="s">
        <v>1</v>
      </c>
      <c r="U15" s="83">
        <v>0.5</v>
      </c>
      <c r="V15" s="139"/>
      <c r="X15" s="133"/>
      <c r="Y15" s="20"/>
      <c r="Z15" s="16" t="s">
        <v>151</v>
      </c>
      <c r="AA15" s="16" t="s">
        <v>142</v>
      </c>
      <c r="AB15" s="57">
        <f>IF(OR(ISBLANK(G12),G12&lt;=0),0,SUM(N17,N24))</f>
        <v>0</v>
      </c>
      <c r="AC15" s="16"/>
      <c r="AD15" s="134"/>
    </row>
    <row r="16" spans="2:30" ht="16.2" x14ac:dyDescent="0.3">
      <c r="B16" s="133"/>
      <c r="C16" s="20"/>
      <c r="D16" s="124" t="s">
        <v>176</v>
      </c>
      <c r="E16" s="121" t="s">
        <v>140</v>
      </c>
      <c r="F16" s="123"/>
      <c r="G16" s="154">
        <f>IF(AND(U11=0,G15=0),0,4.74+0.0046*U11+0.0102*G15)</f>
        <v>0</v>
      </c>
      <c r="H16" s="134"/>
      <c r="J16" s="133"/>
      <c r="K16" s="22"/>
      <c r="L16" s="25" t="s">
        <v>20</v>
      </c>
      <c r="M16" s="26" t="s">
        <v>64</v>
      </c>
      <c r="N16" s="27">
        <f>$N$11*10000*N13/1000000</f>
        <v>0</v>
      </c>
      <c r="O16" s="134"/>
      <c r="Q16" s="133"/>
      <c r="R16" s="20"/>
      <c r="S16" s="42" t="s">
        <v>7</v>
      </c>
      <c r="T16" s="16" t="s">
        <v>112</v>
      </c>
      <c r="U16" s="32">
        <f xml:space="preserve"> U11*(1-IF(U15&gt;1,U15/100,U15))*IF(U12&gt;1,U12/100,U12)</f>
        <v>0</v>
      </c>
      <c r="V16" s="139"/>
      <c r="X16" s="133"/>
      <c r="Y16" s="20"/>
      <c r="Z16" s="16" t="s">
        <v>152</v>
      </c>
      <c r="AA16" s="16" t="s">
        <v>142</v>
      </c>
      <c r="AB16" s="57">
        <f>SUM(N52,N102,N155)</f>
        <v>0</v>
      </c>
      <c r="AC16" s="16"/>
      <c r="AD16" s="134"/>
    </row>
    <row r="17" spans="2:40" ht="16.2" x14ac:dyDescent="0.3">
      <c r="B17" s="133"/>
      <c r="C17" s="20"/>
      <c r="D17" s="124" t="s">
        <v>177</v>
      </c>
      <c r="E17" s="121" t="s">
        <v>141</v>
      </c>
      <c r="F17" s="123"/>
      <c r="G17" s="251">
        <f>IF(AND(U11=0,G15=0),0,1.066+0.00037*U11+0.00075*G15)</f>
        <v>0</v>
      </c>
      <c r="H17" s="134"/>
      <c r="J17" s="133"/>
      <c r="K17" s="24"/>
      <c r="L17" s="25" t="s">
        <v>20</v>
      </c>
      <c r="M17" s="26" t="s">
        <v>65</v>
      </c>
      <c r="N17" s="27">
        <f>$N$11*10000*N14/1000000</f>
        <v>0</v>
      </c>
      <c r="O17" s="134"/>
      <c r="Q17" s="133"/>
      <c r="R17" s="20"/>
      <c r="S17" s="42" t="s">
        <v>7</v>
      </c>
      <c r="T17" s="16" t="s">
        <v>82</v>
      </c>
      <c r="U17" s="32">
        <f xml:space="preserve"> U11*(1-IF(U15&gt;1,U15/100,U15))*IF(U13&gt;1,U13/100,U13)</f>
        <v>0</v>
      </c>
      <c r="V17" s="140"/>
      <c r="X17" s="133"/>
      <c r="Y17" s="93"/>
      <c r="Z17" s="65" t="s">
        <v>137</v>
      </c>
      <c r="AA17" s="65" t="s">
        <v>140</v>
      </c>
      <c r="AB17" s="204">
        <f>AB11+AB12</f>
        <v>0</v>
      </c>
      <c r="AC17" s="16"/>
      <c r="AD17" s="134"/>
    </row>
    <row r="18" spans="2:40" ht="16.2" x14ac:dyDescent="0.3">
      <c r="B18" s="133"/>
      <c r="C18" s="33"/>
      <c r="D18" s="125" t="s">
        <v>178</v>
      </c>
      <c r="E18" s="122" t="s">
        <v>142</v>
      </c>
      <c r="F18" s="122"/>
      <c r="G18" s="252">
        <f>IF(AND(U11=0,G15=0),0,10.971+0.0045*U11+0.00735*G15)</f>
        <v>0</v>
      </c>
      <c r="H18" s="134"/>
      <c r="J18" s="133"/>
      <c r="K18" s="16"/>
      <c r="L18" s="15"/>
      <c r="M18" s="16"/>
      <c r="N18" s="16"/>
      <c r="O18" s="134"/>
      <c r="Q18" s="133"/>
      <c r="R18" s="20"/>
      <c r="S18" s="42" t="s">
        <v>7</v>
      </c>
      <c r="T18" s="16" t="s">
        <v>83</v>
      </c>
      <c r="U18" s="32">
        <f xml:space="preserve"> U11*(1-IF(U15&gt;1,U15/100,U15))*IF(U14&gt;1,U14/100,U14)</f>
        <v>0</v>
      </c>
      <c r="V18" s="134"/>
      <c r="X18" s="133"/>
      <c r="Y18" s="93"/>
      <c r="Z18" s="65" t="s">
        <v>138</v>
      </c>
      <c r="AA18" s="65" t="s">
        <v>141</v>
      </c>
      <c r="AB18" s="204">
        <f>AB13+AB14</f>
        <v>0</v>
      </c>
      <c r="AC18" s="16"/>
      <c r="AD18" s="134"/>
    </row>
    <row r="19" spans="2:40" ht="18.600000000000001" thickBot="1" x14ac:dyDescent="0.4">
      <c r="B19" s="135"/>
      <c r="C19" s="137"/>
      <c r="D19" s="137"/>
      <c r="E19" s="137"/>
      <c r="F19" s="137"/>
      <c r="G19" s="137"/>
      <c r="H19" s="138"/>
      <c r="J19" s="133"/>
      <c r="K19" s="14" t="s">
        <v>56</v>
      </c>
      <c r="L19" s="16"/>
      <c r="M19" s="16"/>
      <c r="N19" s="16"/>
      <c r="O19" s="134"/>
      <c r="Q19" s="133"/>
      <c r="R19" s="20"/>
      <c r="S19" s="43" t="s">
        <v>55</v>
      </c>
      <c r="T19" s="16" t="s">
        <v>1</v>
      </c>
      <c r="U19" s="83">
        <v>0.1</v>
      </c>
      <c r="V19" s="134"/>
      <c r="X19" s="133"/>
      <c r="Y19" s="58"/>
      <c r="Z19" s="26" t="s">
        <v>139</v>
      </c>
      <c r="AA19" s="26" t="s">
        <v>142</v>
      </c>
      <c r="AB19" s="205">
        <f>AB15+AB16</f>
        <v>0</v>
      </c>
      <c r="AC19" s="16"/>
      <c r="AD19" s="134"/>
    </row>
    <row r="20" spans="2:40" ht="16.8" thickTop="1" x14ac:dyDescent="0.3">
      <c r="J20" s="133"/>
      <c r="K20" s="17"/>
      <c r="L20" s="19" t="s">
        <v>68</v>
      </c>
      <c r="M20" s="19" t="s">
        <v>51</v>
      </c>
      <c r="N20" s="52">
        <v>500</v>
      </c>
      <c r="O20" s="134"/>
      <c r="Q20" s="133"/>
      <c r="R20" s="20"/>
      <c r="S20" s="15" t="s">
        <v>117</v>
      </c>
      <c r="T20" s="16" t="s">
        <v>1</v>
      </c>
      <c r="U20" s="82">
        <v>0.01</v>
      </c>
      <c r="V20" s="134"/>
      <c r="X20" s="133"/>
      <c r="Y20" s="16"/>
      <c r="Z20" s="16"/>
      <c r="AA20" s="16"/>
      <c r="AB20" s="16"/>
      <c r="AC20" s="16"/>
      <c r="AD20" s="134"/>
    </row>
    <row r="21" spans="2:40" ht="14.4" customHeight="1" x14ac:dyDescent="0.35">
      <c r="J21" s="133"/>
      <c r="K21" s="20"/>
      <c r="L21" s="16" t="s">
        <v>66</v>
      </c>
      <c r="M21" s="16" t="s">
        <v>1</v>
      </c>
      <c r="N21" s="50">
        <v>3.6080000000000001E-2</v>
      </c>
      <c r="O21" s="134"/>
      <c r="Q21" s="133"/>
      <c r="R21" s="20"/>
      <c r="S21" s="15" t="s">
        <v>118</v>
      </c>
      <c r="T21" s="16" t="s">
        <v>1</v>
      </c>
      <c r="U21" s="82">
        <v>8.0000000000000004E-4</v>
      </c>
      <c r="V21" s="134"/>
      <c r="X21" s="133"/>
      <c r="Y21" s="40" t="s">
        <v>134</v>
      </c>
      <c r="Z21" s="16"/>
      <c r="AA21" s="16"/>
      <c r="AB21" s="16"/>
      <c r="AC21" s="16"/>
      <c r="AD21" s="134"/>
    </row>
    <row r="22" spans="2:40" ht="16.2" x14ac:dyDescent="0.3">
      <c r="J22" s="133"/>
      <c r="K22" s="20"/>
      <c r="L22" s="15" t="s">
        <v>67</v>
      </c>
      <c r="M22" s="16" t="s">
        <v>1</v>
      </c>
      <c r="N22" s="23">
        <v>0.59014</v>
      </c>
      <c r="O22" s="134"/>
      <c r="Q22" s="133"/>
      <c r="R22" s="20"/>
      <c r="S22" s="15" t="s">
        <v>119</v>
      </c>
      <c r="T22" s="16" t="s">
        <v>1</v>
      </c>
      <c r="U22" s="82">
        <v>3.5000000000000001E-3</v>
      </c>
      <c r="V22" s="134"/>
      <c r="X22" s="133"/>
      <c r="Y22" s="30"/>
      <c r="Z22" s="19" t="s">
        <v>220</v>
      </c>
      <c r="AA22" s="19" t="s">
        <v>140</v>
      </c>
      <c r="AB22" s="56">
        <f>IF(SU$32=[1]FERTILIZANTES!$E$40,U27+U38,U27)+IF(G13&gt;20,1.2,0)</f>
        <v>0</v>
      </c>
      <c r="AC22" s="16"/>
      <c r="AD22" s="134"/>
    </row>
    <row r="23" spans="2:40" ht="16.2" x14ac:dyDescent="0.3">
      <c r="J23" s="133"/>
      <c r="K23" s="20"/>
      <c r="L23" s="61" t="s">
        <v>20</v>
      </c>
      <c r="M23" s="26" t="s">
        <v>57</v>
      </c>
      <c r="N23" s="60">
        <f>N20*N21/100</f>
        <v>0.1804</v>
      </c>
      <c r="O23" s="134"/>
      <c r="Q23" s="133"/>
      <c r="R23" s="20"/>
      <c r="S23" s="15" t="s">
        <v>115</v>
      </c>
      <c r="T23" s="16" t="s">
        <v>1</v>
      </c>
      <c r="U23" s="83">
        <v>0.25</v>
      </c>
      <c r="V23" s="134"/>
      <c r="X23" s="133"/>
      <c r="Y23" s="20"/>
      <c r="Z23" s="16" t="s">
        <v>143</v>
      </c>
      <c r="AA23" s="16" t="s">
        <v>140</v>
      </c>
      <c r="AB23" s="57" t="e">
        <f>SUM(U50,U57,U66,U75)-U44-U53</f>
        <v>#VALUE!</v>
      </c>
      <c r="AC23" s="16"/>
      <c r="AD23" s="134"/>
    </row>
    <row r="24" spans="2:40" ht="16.2" x14ac:dyDescent="0.3">
      <c r="J24" s="133"/>
      <c r="K24" s="33"/>
      <c r="L24" s="61" t="s">
        <v>20</v>
      </c>
      <c r="M24" s="26" t="s">
        <v>58</v>
      </c>
      <c r="N24" s="60">
        <f>N20*N22/100</f>
        <v>2.9506999999999999</v>
      </c>
      <c r="O24" s="134"/>
      <c r="Q24" s="133"/>
      <c r="R24" s="20"/>
      <c r="S24" s="42" t="s">
        <v>7</v>
      </c>
      <c r="T24" s="16" t="s">
        <v>21</v>
      </c>
      <c r="U24" s="81">
        <f xml:space="preserve"> U11*IF(U19&gt;1,U19/100,U19) * (1-IF(U23&gt;1,U23/100,U23)) * IF(U20&gt;1,U20/100,U20)</f>
        <v>0</v>
      </c>
      <c r="V24" s="134"/>
      <c r="X24" s="133"/>
      <c r="Y24" s="20"/>
      <c r="Z24" s="16" t="s">
        <v>221</v>
      </c>
      <c r="AA24" s="16" t="s">
        <v>141</v>
      </c>
      <c r="AB24" s="57">
        <f>IF($U$32=[1]FERTILIZANTES!$E$40, U28+U39, U28)+IF(G13&gt;20,0.3,0)</f>
        <v>0</v>
      </c>
      <c r="AC24" s="16"/>
      <c r="AD24" s="134"/>
    </row>
    <row r="25" spans="2:40" ht="16.2" x14ac:dyDescent="0.3">
      <c r="J25" s="133"/>
      <c r="K25" s="16"/>
      <c r="L25" s="15"/>
      <c r="M25" s="16"/>
      <c r="N25" s="36"/>
      <c r="O25" s="134"/>
      <c r="Q25" s="133"/>
      <c r="R25" s="20"/>
      <c r="S25" s="42" t="s">
        <v>7</v>
      </c>
      <c r="T25" s="16" t="s">
        <v>64</v>
      </c>
      <c r="U25" s="44">
        <f xml:space="preserve"> U11*IF(U19&gt;1,U19/100,U19) * (1-IF(U23&gt;1,U23/100,U23)) * IF(U21&gt;1,U21/100,U21)</f>
        <v>0</v>
      </c>
      <c r="V25" s="134"/>
      <c r="X25" s="133"/>
      <c r="Y25" s="20"/>
      <c r="Z25" s="16" t="s">
        <v>144</v>
      </c>
      <c r="AA25" s="16" t="s">
        <v>141</v>
      </c>
      <c r="AB25" s="57" t="e">
        <f>U76</f>
        <v>#VALUE!</v>
      </c>
      <c r="AC25" s="16"/>
      <c r="AD25" s="134"/>
    </row>
    <row r="26" spans="2:40" ht="18" x14ac:dyDescent="0.35">
      <c r="J26" s="133"/>
      <c r="K26" s="14" t="s">
        <v>18</v>
      </c>
      <c r="L26" s="15"/>
      <c r="M26" s="16"/>
      <c r="N26" s="36"/>
      <c r="O26" s="134"/>
      <c r="Q26" s="133"/>
      <c r="R26" s="20"/>
      <c r="S26" s="42" t="s">
        <v>7</v>
      </c>
      <c r="T26" s="16" t="s">
        <v>65</v>
      </c>
      <c r="U26" s="44">
        <f xml:space="preserve"> U11*IF(U19&gt;1,U19/100,U19) * (1-IF(U23&gt;1,U23/100,U23)) * IF(U22&gt;1,U22/100,U22)</f>
        <v>0</v>
      </c>
      <c r="V26" s="134"/>
      <c r="X26" s="133"/>
      <c r="Y26" s="20"/>
      <c r="Z26" s="16" t="s">
        <v>222</v>
      </c>
      <c r="AA26" s="16" t="s">
        <v>142</v>
      </c>
      <c r="AB26" s="57">
        <f>IF($U$32=[1]FERTILIZANTES!$E$40, U29+U40, U29)+IF(G13&gt;20,1.45,0)</f>
        <v>0</v>
      </c>
      <c r="AC26" s="16"/>
      <c r="AD26" s="134"/>
    </row>
    <row r="27" spans="2:40" ht="16.2" x14ac:dyDescent="0.3">
      <c r="J27" s="133"/>
      <c r="K27" s="17" t="s">
        <v>15</v>
      </c>
      <c r="L27" s="29" t="s">
        <v>202</v>
      </c>
      <c r="M27" s="19"/>
      <c r="N27" s="211" t="str">
        <f>'Balance de Nutrientes'!D25</f>
        <v>Choose one from the list</v>
      </c>
      <c r="O27" s="134"/>
      <c r="Q27" s="133"/>
      <c r="R27" s="20"/>
      <c r="S27" s="78" t="s">
        <v>116</v>
      </c>
      <c r="T27" s="79" t="s">
        <v>112</v>
      </c>
      <c r="U27" s="80">
        <f xml:space="preserve"> U16 + U24</f>
        <v>0</v>
      </c>
      <c r="V27" s="134"/>
      <c r="X27" s="133"/>
      <c r="Y27" s="20"/>
      <c r="Z27" s="16" t="s">
        <v>145</v>
      </c>
      <c r="AA27" s="16" t="s">
        <v>142</v>
      </c>
      <c r="AB27" s="57" t="e">
        <f>U77</f>
        <v>#VALUE!</v>
      </c>
      <c r="AC27" s="16"/>
      <c r="AD27" s="134"/>
    </row>
    <row r="28" spans="2:40" ht="16.2" x14ac:dyDescent="0.3">
      <c r="J28" s="133"/>
      <c r="K28" s="20"/>
      <c r="L28" s="168" t="s">
        <v>205</v>
      </c>
      <c r="M28" s="166"/>
      <c r="N28" s="9" t="str">
        <f>'Balance de Nutrientes'!D26</f>
        <v>Choose one from the list</v>
      </c>
      <c r="O28" s="134"/>
      <c r="Q28" s="133"/>
      <c r="R28" s="20"/>
      <c r="S28" s="78" t="s">
        <v>116</v>
      </c>
      <c r="T28" s="79" t="s">
        <v>113</v>
      </c>
      <c r="U28" s="80">
        <f xml:space="preserve"> U17 + U25</f>
        <v>0</v>
      </c>
      <c r="V28" s="134"/>
      <c r="X28" s="133"/>
      <c r="Y28" s="94"/>
      <c r="Z28" s="79" t="s">
        <v>263</v>
      </c>
      <c r="AA28" s="79" t="s">
        <v>140</v>
      </c>
      <c r="AB28" s="206" t="e">
        <f>AB22+AB23</f>
        <v>#VALUE!</v>
      </c>
      <c r="AC28" s="16"/>
      <c r="AD28" s="134"/>
      <c r="AN28" s="67"/>
    </row>
    <row r="29" spans="2:40" ht="16.2" x14ac:dyDescent="0.3">
      <c r="J29" s="133"/>
      <c r="K29" s="20"/>
      <c r="L29" s="168" t="s">
        <v>207</v>
      </c>
      <c r="M29" s="166"/>
      <c r="N29" s="212" t="str">
        <f>'Balance de Nutrientes'!D27</f>
        <v>Choose one from the list</v>
      </c>
      <c r="O29" s="134"/>
      <c r="Q29" s="133"/>
      <c r="R29" s="33"/>
      <c r="S29" s="47" t="s">
        <v>116</v>
      </c>
      <c r="T29" s="48" t="s">
        <v>83</v>
      </c>
      <c r="U29" s="49">
        <f xml:space="preserve"> U18 + U26</f>
        <v>0</v>
      </c>
      <c r="V29" s="134"/>
      <c r="X29" s="133"/>
      <c r="Y29" s="94"/>
      <c r="Z29" s="79" t="s">
        <v>264</v>
      </c>
      <c r="AA29" s="79" t="s">
        <v>141</v>
      </c>
      <c r="AB29" s="206" t="e">
        <f>AB24+AB25</f>
        <v>#VALUE!</v>
      </c>
      <c r="AC29" s="16"/>
      <c r="AD29" s="134"/>
    </row>
    <row r="30" spans="2:40" ht="16.2" x14ac:dyDescent="0.3">
      <c r="J30" s="133"/>
      <c r="K30" s="20"/>
      <c r="L30" s="168" t="s">
        <v>210</v>
      </c>
      <c r="M30" s="166" t="s">
        <v>200</v>
      </c>
      <c r="N30" s="180">
        <f>IF($N$27="No",0,IF(ISNUMBER(SEARCH("toda la finca",LOWER($N$28))),$G$14,IFERROR(VLOOKUP($N$28,FERTILIZANTES!$C$4:$D$7,2,FALSE)* 100 * (SQRT($G$12)-1)* ($G$14/10000),0)))</f>
        <v>0</v>
      </c>
      <c r="O30" s="134"/>
      <c r="Q30" s="133"/>
      <c r="R30" s="16"/>
      <c r="S30" s="16"/>
      <c r="T30" s="16"/>
      <c r="U30" s="16"/>
      <c r="V30" s="134"/>
      <c r="X30" s="133"/>
      <c r="Y30" s="59"/>
      <c r="Z30" s="48" t="s">
        <v>265</v>
      </c>
      <c r="AA30" s="48" t="s">
        <v>142</v>
      </c>
      <c r="AB30" s="207" t="e">
        <f>AB26+AB27</f>
        <v>#VALUE!</v>
      </c>
      <c r="AC30" s="16"/>
      <c r="AD30" s="134"/>
    </row>
    <row r="31" spans="2:40" ht="18" customHeight="1" x14ac:dyDescent="0.35">
      <c r="J31" s="133"/>
      <c r="K31" s="20"/>
      <c r="L31" s="15" t="s">
        <v>19</v>
      </c>
      <c r="M31" s="16" t="s">
        <v>109</v>
      </c>
      <c r="N31" s="167">
        <f>IFERROR(VALUE(VLOOKUP($N$29,FERTILIZANTES!$E$4:$F$6,2,FALSE))* $N$30* 10/ $G$14,0)</f>
        <v>0</v>
      </c>
      <c r="O31" s="134"/>
      <c r="Q31" s="133"/>
      <c r="R31" s="46" t="s">
        <v>46</v>
      </c>
      <c r="S31" s="42"/>
      <c r="T31" s="16"/>
      <c r="U31" s="16"/>
      <c r="V31" s="134"/>
      <c r="X31" s="133"/>
      <c r="Y31" s="16"/>
      <c r="Z31" s="16"/>
      <c r="AA31" s="16"/>
      <c r="AB31" s="16"/>
      <c r="AC31" s="16"/>
      <c r="AD31" s="134"/>
    </row>
    <row r="32" spans="2:40" ht="18" x14ac:dyDescent="0.35">
      <c r="J32" s="133"/>
      <c r="K32" s="20"/>
      <c r="L32" s="15" t="s">
        <v>110</v>
      </c>
      <c r="M32" s="16" t="s">
        <v>1</v>
      </c>
      <c r="N32" s="77">
        <v>10</v>
      </c>
      <c r="O32" s="134"/>
      <c r="Q32" s="133"/>
      <c r="R32" s="17"/>
      <c r="S32" s="19" t="s">
        <v>213</v>
      </c>
      <c r="T32" s="19"/>
      <c r="U32" s="10" t="str">
        <f>'Balance de Nutrientes'!D28</f>
        <v>Choose one from the list</v>
      </c>
      <c r="V32" s="134"/>
      <c r="X32" s="133"/>
      <c r="Y32" s="54" t="s">
        <v>8</v>
      </c>
      <c r="Z32" s="16"/>
      <c r="AA32" s="16"/>
      <c r="AB32" s="16"/>
      <c r="AC32" s="16"/>
      <c r="AD32" s="134"/>
    </row>
    <row r="33" spans="10:30" ht="16.2" x14ac:dyDescent="0.3">
      <c r="J33" s="133"/>
      <c r="K33" s="20"/>
      <c r="L33" s="15" t="s">
        <v>111</v>
      </c>
      <c r="M33" s="16" t="s">
        <v>3</v>
      </c>
      <c r="N33" s="77">
        <v>0.04</v>
      </c>
      <c r="O33" s="134"/>
      <c r="Q33" s="133"/>
      <c r="R33" s="22"/>
      <c r="S33" s="166" t="s">
        <v>224</v>
      </c>
      <c r="T33" s="166" t="s">
        <v>215</v>
      </c>
      <c r="U33" s="57">
        <f>IF($G$13&gt;50,FERTILIZANTES!$F$34,FERTILIZANTES!$F$35) * $G$12 * ($G$14/10000)</f>
        <v>0</v>
      </c>
      <c r="V33" s="134"/>
      <c r="X33" s="133"/>
      <c r="Y33" s="96"/>
      <c r="Z33" s="97" t="s">
        <v>146</v>
      </c>
      <c r="AA33" s="203" t="s">
        <v>140</v>
      </c>
      <c r="AB33" s="208" t="e">
        <f>AB17-AB28</f>
        <v>#VALUE!</v>
      </c>
      <c r="AC33" s="16"/>
      <c r="AD33" s="134"/>
    </row>
    <row r="34" spans="10:30" ht="16.2" x14ac:dyDescent="0.3">
      <c r="J34" s="133"/>
      <c r="K34" s="20"/>
      <c r="L34" s="15" t="s">
        <v>70</v>
      </c>
      <c r="M34" s="16" t="s">
        <v>1</v>
      </c>
      <c r="N34" s="23">
        <v>38</v>
      </c>
      <c r="O34" s="134"/>
      <c r="Q34" s="133"/>
      <c r="R34" s="22"/>
      <c r="S34" s="166" t="s">
        <v>225</v>
      </c>
      <c r="T34" s="166" t="s">
        <v>214</v>
      </c>
      <c r="U34" s="57">
        <f>IF($G$13&gt;50,FERTILIZANTES!$F$34,FERTILIZANTES!$F$35) * $G$12</f>
        <v>0</v>
      </c>
      <c r="V34" s="134"/>
      <c r="X34" s="133"/>
      <c r="Y34" s="98"/>
      <c r="Z34" s="95" t="s">
        <v>147</v>
      </c>
      <c r="AA34" s="201" t="s">
        <v>141</v>
      </c>
      <c r="AB34" s="209" t="e">
        <f>AB18-AB29</f>
        <v>#VALUE!</v>
      </c>
      <c r="AC34" s="16"/>
      <c r="AD34" s="134"/>
    </row>
    <row r="35" spans="10:30" ht="16.2" customHeight="1" x14ac:dyDescent="0.3">
      <c r="J35" s="133"/>
      <c r="K35" s="20"/>
      <c r="L35" s="15" t="s">
        <v>71</v>
      </c>
      <c r="M35" s="16" t="s">
        <v>1</v>
      </c>
      <c r="N35" s="23">
        <v>60</v>
      </c>
      <c r="O35" s="134"/>
      <c r="Q35" s="133"/>
      <c r="R35" s="22"/>
      <c r="S35" s="16" t="s">
        <v>257</v>
      </c>
      <c r="T35" s="15" t="s">
        <v>1</v>
      </c>
      <c r="U35" s="57">
        <v>0.64</v>
      </c>
      <c r="V35" s="134"/>
      <c r="X35" s="133"/>
      <c r="Y35" s="99"/>
      <c r="Z35" s="100" t="s">
        <v>148</v>
      </c>
      <c r="AA35" s="202" t="s">
        <v>142</v>
      </c>
      <c r="AB35" s="210" t="e">
        <f>AB19-AB30</f>
        <v>#VALUE!</v>
      </c>
      <c r="AC35" s="16"/>
      <c r="AD35" s="134"/>
    </row>
    <row r="36" spans="10:30" ht="18" x14ac:dyDescent="0.35">
      <c r="J36" s="133"/>
      <c r="K36" s="20"/>
      <c r="L36" s="15" t="s">
        <v>72</v>
      </c>
      <c r="M36" s="16" t="s">
        <v>1</v>
      </c>
      <c r="N36" s="23">
        <v>18</v>
      </c>
      <c r="O36" s="134"/>
      <c r="Q36" s="133"/>
      <c r="R36" s="22"/>
      <c r="S36" s="16" t="s">
        <v>258</v>
      </c>
      <c r="T36" s="15" t="s">
        <v>1</v>
      </c>
      <c r="U36" s="57">
        <v>5.6000000000000001E-2</v>
      </c>
      <c r="V36" s="134"/>
      <c r="X36" s="133"/>
      <c r="Y36" s="54"/>
      <c r="Z36" s="16"/>
      <c r="AA36" s="16"/>
      <c r="AB36" s="16"/>
      <c r="AC36" s="16"/>
      <c r="AD36" s="134"/>
    </row>
    <row r="37" spans="10:30" ht="16.2" x14ac:dyDescent="0.3">
      <c r="J37" s="133"/>
      <c r="K37" s="33"/>
      <c r="L37" s="25" t="s">
        <v>20</v>
      </c>
      <c r="M37" s="26" t="s">
        <v>21</v>
      </c>
      <c r="N37" s="27">
        <f>(N31*(N32/100)*N33*(N35/100))+(N31*0.1*0.04*0.38*0.6)+(N31*0.1*0.04*0.6*0.18)</f>
        <v>0</v>
      </c>
      <c r="O37" s="134"/>
      <c r="Q37" s="133"/>
      <c r="R37" s="22"/>
      <c r="S37" s="16" t="s">
        <v>259</v>
      </c>
      <c r="T37" s="15" t="s">
        <v>1</v>
      </c>
      <c r="U37" s="57">
        <v>0.39</v>
      </c>
      <c r="V37" s="134"/>
      <c r="X37" s="133"/>
      <c r="Y37" s="253"/>
      <c r="Z37" s="254" t="s">
        <v>260</v>
      </c>
      <c r="AA37" s="254" t="s">
        <v>1</v>
      </c>
      <c r="AB37" s="255">
        <f>IF(AB17=0,0,AB11/AB17*100)</f>
        <v>0</v>
      </c>
      <c r="AC37" s="166"/>
      <c r="AD37" s="134"/>
    </row>
    <row r="38" spans="10:30" ht="16.2" x14ac:dyDescent="0.3">
      <c r="J38" s="133"/>
      <c r="K38" s="16"/>
      <c r="L38" s="15"/>
      <c r="M38" s="16"/>
      <c r="N38" s="36"/>
      <c r="O38" s="134"/>
      <c r="Q38" s="133"/>
      <c r="R38" s="20"/>
      <c r="S38" s="78" t="s">
        <v>43</v>
      </c>
      <c r="T38" s="79" t="s">
        <v>112</v>
      </c>
      <c r="U38" s="80">
        <f>U34 * U35 / 100</f>
        <v>0</v>
      </c>
      <c r="V38" s="134"/>
      <c r="X38" s="133"/>
      <c r="Y38" s="256"/>
      <c r="Z38" s="257" t="s">
        <v>261</v>
      </c>
      <c r="AA38" s="257" t="s">
        <v>1</v>
      </c>
      <c r="AB38" s="258">
        <f>IF(AB18=0,0,AB12/AB18*100)</f>
        <v>0</v>
      </c>
      <c r="AC38" s="166"/>
      <c r="AD38" s="134"/>
    </row>
    <row r="39" spans="10:30" ht="18" x14ac:dyDescent="0.35">
      <c r="J39" s="133"/>
      <c r="K39" s="14" t="s">
        <v>22</v>
      </c>
      <c r="L39" s="15"/>
      <c r="M39" s="16"/>
      <c r="N39" s="36"/>
      <c r="O39" s="134"/>
      <c r="Q39" s="133"/>
      <c r="R39" s="20"/>
      <c r="S39" s="78" t="s">
        <v>43</v>
      </c>
      <c r="T39" s="79" t="s">
        <v>82</v>
      </c>
      <c r="U39" s="80">
        <f>U34 * U36 / 100</f>
        <v>0</v>
      </c>
      <c r="V39" s="134"/>
      <c r="X39" s="133"/>
      <c r="Y39" s="259"/>
      <c r="Z39" s="260" t="s">
        <v>262</v>
      </c>
      <c r="AA39" s="260" t="s">
        <v>1</v>
      </c>
      <c r="AB39" s="261">
        <f t="shared" ref="AB39" si="0">IF(AB19=0,0,AB13/AB19*100)</f>
        <v>0</v>
      </c>
      <c r="AC39" s="166"/>
      <c r="AD39" s="134"/>
    </row>
    <row r="40" spans="10:30" ht="16.8" thickBot="1" x14ac:dyDescent="0.35">
      <c r="J40" s="133"/>
      <c r="K40" s="17"/>
      <c r="L40" s="29" t="s">
        <v>69</v>
      </c>
      <c r="M40" s="19" t="s">
        <v>27</v>
      </c>
      <c r="N40" s="86">
        <v>4</v>
      </c>
      <c r="O40" s="134"/>
      <c r="Q40" s="133"/>
      <c r="R40" s="33"/>
      <c r="S40" s="47" t="s">
        <v>43</v>
      </c>
      <c r="T40" s="48" t="s">
        <v>83</v>
      </c>
      <c r="U40" s="49">
        <f>U34 * U37 / 100</f>
        <v>0</v>
      </c>
      <c r="V40" s="134"/>
      <c r="X40" s="135"/>
      <c r="Y40" s="137"/>
      <c r="Z40" s="137"/>
      <c r="AA40" s="137"/>
      <c r="AB40" s="137"/>
      <c r="AC40" s="137"/>
      <c r="AD40" s="138"/>
    </row>
    <row r="41" spans="10:30" ht="17.399999999999999" thickTop="1" thickBot="1" x14ac:dyDescent="0.35">
      <c r="J41" s="133"/>
      <c r="K41" s="20"/>
      <c r="L41" s="15" t="s">
        <v>26</v>
      </c>
      <c r="M41" s="16" t="s">
        <v>28</v>
      </c>
      <c r="N41" s="63">
        <f>'Balance de Nutrientes'!D23</f>
        <v>0</v>
      </c>
      <c r="O41" s="134"/>
      <c r="Q41" s="133"/>
      <c r="R41" s="16"/>
      <c r="S41" s="15"/>
      <c r="T41" s="16"/>
      <c r="U41" s="16"/>
      <c r="V41" s="134"/>
      <c r="X41" s="35"/>
      <c r="Y41" s="35"/>
      <c r="Z41" s="35"/>
      <c r="AA41" s="35"/>
      <c r="AB41" s="35"/>
      <c r="AC41" s="35"/>
    </row>
    <row r="42" spans="10:30" ht="18.600000000000001" thickTop="1" x14ac:dyDescent="0.35">
      <c r="J42" s="133"/>
      <c r="K42" s="33"/>
      <c r="L42" s="25" t="s">
        <v>20</v>
      </c>
      <c r="M42" s="26" t="s">
        <v>2</v>
      </c>
      <c r="N42" s="27">
        <f>IF(N41=0,N40,IF(N41=1,3,IF(N41=2,2,IF(AND(N41&gt;=3,N41&lt;5),1,IF(N41&gt;=5,0,ERROR)))))</f>
        <v>4</v>
      </c>
      <c r="O42" s="134"/>
      <c r="Q42" s="133"/>
      <c r="R42" s="46" t="s">
        <v>47</v>
      </c>
      <c r="S42" s="15"/>
      <c r="T42" s="16"/>
      <c r="U42" s="16"/>
      <c r="V42" s="134"/>
      <c r="X42" s="129"/>
      <c r="Y42" s="130"/>
      <c r="Z42" s="131"/>
      <c r="AA42" s="130"/>
      <c r="AB42" s="130"/>
      <c r="AC42" s="130"/>
      <c r="AD42" s="132"/>
    </row>
    <row r="43" spans="10:30" x14ac:dyDescent="0.3">
      <c r="J43" s="133"/>
      <c r="K43" s="16"/>
      <c r="L43" s="15"/>
      <c r="M43" s="16"/>
      <c r="N43" s="36"/>
      <c r="O43" s="134"/>
      <c r="Q43" s="133"/>
      <c r="R43" s="17"/>
      <c r="S43" s="19" t="s">
        <v>216</v>
      </c>
      <c r="T43" s="19"/>
      <c r="U43" s="51" t="str">
        <f>'Balance de Nutrientes'!D87</f>
        <v>Choose one from the list</v>
      </c>
      <c r="V43" s="134"/>
      <c r="X43" s="133"/>
      <c r="Y43" s="16"/>
      <c r="Z43" s="16"/>
      <c r="AA43" s="16"/>
      <c r="AB43" s="16"/>
      <c r="AC43" s="16"/>
      <c r="AD43" s="134"/>
    </row>
    <row r="44" spans="10:30" ht="23.4" x14ac:dyDescent="0.45">
      <c r="J44" s="133"/>
      <c r="K44" s="14" t="s">
        <v>23</v>
      </c>
      <c r="L44" s="15"/>
      <c r="M44" s="16"/>
      <c r="N44" s="39"/>
      <c r="O44" s="134"/>
      <c r="Q44" s="133"/>
      <c r="R44" s="22"/>
      <c r="S44" s="16" t="s">
        <v>89</v>
      </c>
      <c r="T44" s="16" t="s">
        <v>21</v>
      </c>
      <c r="U44" s="186">
        <f>IFERROR((-0.256 + 0.259*VLOOKUP(U43,FERTILIZANTES!$B$44:$C$46,2,FALSE)) /(1 + 0.074*VLOOKUP(U43,FERTILIZANTES!$B$44:$C$46,2,FALSE)),0)</f>
        <v>0</v>
      </c>
      <c r="V44" s="134"/>
      <c r="X44" s="133"/>
      <c r="Y44" s="267"/>
      <c r="Z44" s="250" t="s">
        <v>170</v>
      </c>
      <c r="AA44" s="250"/>
      <c r="AB44" s="250"/>
      <c r="AC44" s="250"/>
      <c r="AD44" s="134"/>
    </row>
    <row r="45" spans="10:30" ht="16.2" customHeight="1" x14ac:dyDescent="0.3">
      <c r="J45" s="133"/>
      <c r="K45" s="17"/>
      <c r="L45" s="29" t="s">
        <v>29</v>
      </c>
      <c r="M45" s="19" t="s">
        <v>30</v>
      </c>
      <c r="N45" s="62">
        <f>'Balance de Nutrientes'!D24</f>
        <v>0</v>
      </c>
      <c r="O45" s="134"/>
      <c r="Q45" s="133"/>
      <c r="R45" s="22"/>
      <c r="S45" s="16" t="s">
        <v>84</v>
      </c>
      <c r="T45" s="16" t="s">
        <v>27</v>
      </c>
      <c r="U45" s="81">
        <f>N100</f>
        <v>0</v>
      </c>
      <c r="V45" s="134"/>
      <c r="X45" s="133"/>
      <c r="Y45" s="16"/>
      <c r="Z45" s="12"/>
      <c r="AA45" s="12"/>
      <c r="AB45" s="16"/>
      <c r="AC45" s="13"/>
      <c r="AD45" s="134"/>
    </row>
    <row r="46" spans="10:30" ht="18" x14ac:dyDescent="0.35">
      <c r="J46" s="133"/>
      <c r="K46" s="20"/>
      <c r="L46" s="16" t="s">
        <v>73</v>
      </c>
      <c r="M46" s="16" t="s">
        <v>5</v>
      </c>
      <c r="N46" s="38">
        <v>2</v>
      </c>
      <c r="O46" s="134"/>
      <c r="Q46" s="133"/>
      <c r="R46" s="22"/>
      <c r="S46" s="16" t="s">
        <v>85</v>
      </c>
      <c r="T46" s="16" t="s">
        <v>27</v>
      </c>
      <c r="U46" s="81">
        <f>N153</f>
        <v>0</v>
      </c>
      <c r="V46" s="134"/>
      <c r="X46" s="133"/>
      <c r="Y46" s="120"/>
      <c r="Z46" s="16"/>
      <c r="AA46" s="16"/>
      <c r="AB46" s="16"/>
      <c r="AC46" s="16"/>
      <c r="AD46" s="134"/>
    </row>
    <row r="47" spans="10:30" ht="15" customHeight="1" x14ac:dyDescent="0.3">
      <c r="J47" s="133"/>
      <c r="K47" s="20"/>
      <c r="L47" s="16" t="s">
        <v>74</v>
      </c>
      <c r="M47" s="16" t="s">
        <v>77</v>
      </c>
      <c r="N47" s="38">
        <v>0.5</v>
      </c>
      <c r="O47" s="134"/>
      <c r="Q47" s="133"/>
      <c r="R47" s="22"/>
      <c r="S47" s="16" t="s">
        <v>86</v>
      </c>
      <c r="T47" s="16" t="s">
        <v>27</v>
      </c>
      <c r="U47" s="81">
        <f>(U46-(U46*0.05))*0.01+(U45-(U45*0.2))*0.025</f>
        <v>0</v>
      </c>
      <c r="V47" s="134"/>
      <c r="X47" s="133"/>
      <c r="Y47" s="144" t="s">
        <v>180</v>
      </c>
      <c r="Z47" s="19"/>
      <c r="AA47" s="19"/>
      <c r="AB47" s="19"/>
      <c r="AC47" s="31"/>
      <c r="AD47" s="134"/>
    </row>
    <row r="48" spans="10:30" ht="16.2" customHeight="1" x14ac:dyDescent="0.3">
      <c r="J48" s="133"/>
      <c r="K48" s="20"/>
      <c r="L48" s="16" t="s">
        <v>75</v>
      </c>
      <c r="M48" s="16" t="s">
        <v>76</v>
      </c>
      <c r="N48" s="38">
        <v>2</v>
      </c>
      <c r="O48" s="134"/>
      <c r="Q48" s="133"/>
      <c r="R48" s="22"/>
      <c r="S48" s="16" t="s">
        <v>87</v>
      </c>
      <c r="T48" s="16" t="s">
        <v>52</v>
      </c>
      <c r="U48" s="81">
        <f>IFERROR((U44 * (0.189 + (1.17 * VLOOKUP(U43,FERTILIZANTES!$B$44:$C$46,2,FALSE))) /(1 + (0.136 * VLOOKUP(U43,FERTILIZANTES!$B$44:$C$46,2,FALSE))) ) * (2/3),0)</f>
        <v>0</v>
      </c>
      <c r="V48" s="134"/>
      <c r="X48" s="264"/>
      <c r="Y48" s="16"/>
      <c r="Z48" s="262"/>
      <c r="AA48" s="262"/>
      <c r="AB48" s="262"/>
      <c r="AC48" s="263"/>
      <c r="AD48" s="134"/>
    </row>
    <row r="49" spans="10:33" ht="16.2" customHeight="1" x14ac:dyDescent="0.3">
      <c r="J49" s="133"/>
      <c r="K49" s="20"/>
      <c r="L49" s="16"/>
      <c r="M49" s="16"/>
      <c r="N49" s="38"/>
      <c r="O49" s="134"/>
      <c r="Q49" s="133"/>
      <c r="R49" s="22"/>
      <c r="S49" s="16" t="s">
        <v>88</v>
      </c>
      <c r="T49" s="16" t="s">
        <v>53</v>
      </c>
      <c r="U49" s="81">
        <f>IFERROR(U47 * ((0.189 + (1.17 * VLOOKUP(U43,FERTILIZANTES!$B$44:$C$46,2,FALSE))) / (1 + (0.136 * VLOOKUP(U43,FERTILIZANTES!$B$44:$C$46,2,FALSE))) ) * (2/3), 0)</f>
        <v>0</v>
      </c>
      <c r="V49" s="134"/>
      <c r="X49" s="264"/>
      <c r="Y49" s="312" t="s">
        <v>184</v>
      </c>
      <c r="Z49" s="312"/>
      <c r="AA49" s="312"/>
      <c r="AB49" s="312"/>
      <c r="AC49" s="313"/>
      <c r="AD49" s="134"/>
    </row>
    <row r="50" spans="10:33" ht="16.2" x14ac:dyDescent="0.3">
      <c r="J50" s="133"/>
      <c r="K50" s="20"/>
      <c r="L50" s="25" t="s">
        <v>20</v>
      </c>
      <c r="M50" s="26" t="s">
        <v>21</v>
      </c>
      <c r="N50" s="27">
        <f>$N$45*1000*N46/1000000</f>
        <v>0</v>
      </c>
      <c r="O50" s="134"/>
      <c r="Q50" s="133"/>
      <c r="R50" s="33"/>
      <c r="S50" s="47" t="s">
        <v>43</v>
      </c>
      <c r="T50" s="48" t="s">
        <v>2</v>
      </c>
      <c r="U50" s="49">
        <f>U44+U47+U48+U49</f>
        <v>0</v>
      </c>
      <c r="V50" s="134"/>
      <c r="X50" s="133"/>
      <c r="Y50" s="305" t="s">
        <v>195</v>
      </c>
      <c r="Z50" s="306"/>
      <c r="AA50" s="306"/>
      <c r="AB50" s="306"/>
      <c r="AC50" s="307"/>
      <c r="AD50" s="134"/>
    </row>
    <row r="51" spans="10:33" ht="16.2" x14ac:dyDescent="0.3">
      <c r="J51" s="133"/>
      <c r="K51" s="20"/>
      <c r="L51" s="25" t="s">
        <v>20</v>
      </c>
      <c r="M51" s="26" t="s">
        <v>64</v>
      </c>
      <c r="N51" s="27">
        <f>$N$45*1000*N47/1000000</f>
        <v>0</v>
      </c>
      <c r="O51" s="134"/>
      <c r="Q51" s="133"/>
      <c r="R51" s="16"/>
      <c r="S51" s="15"/>
      <c r="T51" s="16"/>
      <c r="U51" s="16"/>
      <c r="V51" s="134"/>
      <c r="X51" s="133"/>
      <c r="Y51" s="308" t="s">
        <v>185</v>
      </c>
      <c r="Z51" s="309"/>
      <c r="AA51" s="309"/>
      <c r="AB51" s="309"/>
      <c r="AC51" s="310"/>
      <c r="AD51" s="134"/>
    </row>
    <row r="52" spans="10:33" ht="19.2" customHeight="1" x14ac:dyDescent="0.45">
      <c r="J52" s="133"/>
      <c r="K52" s="33"/>
      <c r="L52" s="25" t="s">
        <v>20</v>
      </c>
      <c r="M52" s="26" t="s">
        <v>65</v>
      </c>
      <c r="N52" s="27">
        <f>$N$45*1000*N48/1000000</f>
        <v>0</v>
      </c>
      <c r="O52" s="134"/>
      <c r="Q52" s="133"/>
      <c r="R52" s="46" t="s">
        <v>50</v>
      </c>
      <c r="S52" s="15"/>
      <c r="T52" s="16"/>
      <c r="U52" s="16"/>
      <c r="V52" s="134"/>
      <c r="X52" s="133"/>
      <c r="Y52" s="311" t="s">
        <v>198</v>
      </c>
      <c r="Z52" s="312"/>
      <c r="AA52" s="312"/>
      <c r="AB52" s="312"/>
      <c r="AC52" s="313"/>
      <c r="AD52" s="134"/>
    </row>
    <row r="53" spans="10:33" ht="20.399999999999999" customHeight="1" x14ac:dyDescent="0.3">
      <c r="J53" s="133"/>
      <c r="K53" s="16"/>
      <c r="L53" s="15"/>
      <c r="M53" s="16"/>
      <c r="N53" s="36"/>
      <c r="O53" s="134"/>
      <c r="Q53" s="133"/>
      <c r="R53" s="17"/>
      <c r="S53" s="19" t="s">
        <v>91</v>
      </c>
      <c r="T53" s="19" t="s">
        <v>21</v>
      </c>
      <c r="U53" s="52">
        <v>1.5</v>
      </c>
      <c r="V53" s="134"/>
      <c r="X53" s="133"/>
      <c r="Y53" s="145" t="s">
        <v>186</v>
      </c>
      <c r="Z53" s="16"/>
      <c r="AA53" s="16"/>
      <c r="AB53" s="16"/>
      <c r="AC53" s="32"/>
      <c r="AD53" s="134"/>
    </row>
    <row r="54" spans="10:33" ht="18" x14ac:dyDescent="0.35">
      <c r="J54" s="133"/>
      <c r="K54" s="14" t="s">
        <v>24</v>
      </c>
      <c r="L54" s="15"/>
      <c r="M54" s="16"/>
      <c r="N54" s="36"/>
      <c r="O54" s="134"/>
      <c r="Q54" s="133"/>
      <c r="R54" s="45"/>
      <c r="S54" s="16" t="s">
        <v>90</v>
      </c>
      <c r="T54" s="16" t="s">
        <v>27</v>
      </c>
      <c r="U54" s="44">
        <f>N37</f>
        <v>0</v>
      </c>
      <c r="V54" s="134"/>
      <c r="X54" s="133"/>
      <c r="Y54" s="146" t="s">
        <v>183</v>
      </c>
      <c r="Z54" s="127"/>
      <c r="AA54" s="16"/>
      <c r="AB54" s="16"/>
      <c r="AC54" s="32"/>
      <c r="AD54" s="134"/>
    </row>
    <row r="55" spans="10:33" ht="16.2" x14ac:dyDescent="0.3">
      <c r="J55" s="133"/>
      <c r="K55" s="17"/>
      <c r="L55" s="29" t="s">
        <v>31</v>
      </c>
      <c r="M55" s="19" t="s">
        <v>38</v>
      </c>
      <c r="N55" s="75" t="str">
        <f>'Balance de Nutrientes'!D30</f>
        <v>Choose one from the list</v>
      </c>
      <c r="O55" s="134"/>
      <c r="Q55" s="133"/>
      <c r="R55" s="45"/>
      <c r="S55" s="16" t="s">
        <v>92</v>
      </c>
      <c r="T55" s="16" t="s">
        <v>27</v>
      </c>
      <c r="U55" s="44">
        <f>N100</f>
        <v>0</v>
      </c>
      <c r="V55" s="134"/>
      <c r="X55" s="133"/>
      <c r="Y55" s="147" t="s">
        <v>191</v>
      </c>
      <c r="Z55" s="16"/>
      <c r="AA55" s="16"/>
      <c r="AB55" s="16"/>
      <c r="AC55" s="32"/>
      <c r="AD55" s="134"/>
      <c r="AG55" s="72"/>
    </row>
    <row r="56" spans="10:33" ht="16.2" x14ac:dyDescent="0.3">
      <c r="J56" s="133"/>
      <c r="K56" s="20"/>
      <c r="L56" s="15" t="s">
        <v>32</v>
      </c>
      <c r="M56" s="16" t="s">
        <v>6</v>
      </c>
      <c r="N56" s="7">
        <f>'Balance de Nutrientes'!D31</f>
        <v>0</v>
      </c>
      <c r="O56" s="134"/>
      <c r="Q56" s="133"/>
      <c r="R56" s="45"/>
      <c r="S56" s="16" t="s">
        <v>85</v>
      </c>
      <c r="T56" s="16" t="s">
        <v>27</v>
      </c>
      <c r="U56" s="44">
        <f>N153</f>
        <v>0</v>
      </c>
      <c r="V56" s="134"/>
      <c r="X56" s="133"/>
      <c r="Y56" s="20"/>
      <c r="Z56" s="166"/>
      <c r="AA56" s="166"/>
      <c r="AB56" s="166"/>
      <c r="AC56" s="32"/>
      <c r="AD56" s="134"/>
    </row>
    <row r="57" spans="10:33" ht="23.4" x14ac:dyDescent="0.3">
      <c r="J57" s="133"/>
      <c r="K57" s="20"/>
      <c r="L57" s="15" t="s">
        <v>102</v>
      </c>
      <c r="M57" s="16"/>
      <c r="N57" s="181">
        <f>IFERROR(INDEX(tblFert[N], MATCH($N$55, tblFert[Fertilizante orgánico], 0)), "")</f>
        <v>0</v>
      </c>
      <c r="O57" s="134"/>
      <c r="Q57" s="133"/>
      <c r="R57" s="33"/>
      <c r="S57" s="47" t="s">
        <v>43</v>
      </c>
      <c r="T57" s="48" t="s">
        <v>21</v>
      </c>
      <c r="U57" s="49">
        <f>U53+U54*0.01+U55*0.2+U56*0.05</f>
        <v>1.5</v>
      </c>
      <c r="V57" s="134"/>
      <c r="X57" s="133"/>
      <c r="Y57" s="148" t="s">
        <v>181</v>
      </c>
      <c r="Z57" s="127"/>
      <c r="AA57" s="16"/>
      <c r="AB57" s="16"/>
      <c r="AC57" s="32"/>
      <c r="AD57" s="134"/>
      <c r="AG57" s="72"/>
    </row>
    <row r="58" spans="10:33" x14ac:dyDescent="0.3">
      <c r="J58" s="133"/>
      <c r="K58" s="20"/>
      <c r="L58" s="15" t="s">
        <v>108</v>
      </c>
      <c r="M58" s="16"/>
      <c r="N58" s="156">
        <f>IFERROR(INDEX(tblFert[P], MATCH($N$55, tblFert[Fertilizante orgánico], 0)), "")</f>
        <v>0</v>
      </c>
      <c r="O58" s="134"/>
      <c r="Q58" s="133"/>
      <c r="R58" s="16"/>
      <c r="S58" s="15"/>
      <c r="T58" s="16"/>
      <c r="U58" s="16"/>
      <c r="V58" s="134"/>
      <c r="X58" s="133"/>
      <c r="Y58" s="149" t="s">
        <v>187</v>
      </c>
      <c r="Z58" s="128"/>
      <c r="AA58" s="128"/>
      <c r="AB58" s="128"/>
      <c r="AC58" s="32"/>
      <c r="AD58" s="134"/>
      <c r="AG58" s="72"/>
    </row>
    <row r="59" spans="10:33" ht="18" x14ac:dyDescent="0.35">
      <c r="J59" s="133"/>
      <c r="K59" s="20"/>
      <c r="L59" s="15" t="s">
        <v>107</v>
      </c>
      <c r="M59" s="16"/>
      <c r="N59" s="156">
        <f>IFERROR(INDEX(tblFert[K], MATCH($N$55, tblFert[Fertilizante orgánico], 0)), "")</f>
        <v>0</v>
      </c>
      <c r="O59" s="134"/>
      <c r="Q59" s="133"/>
      <c r="R59" s="46" t="s">
        <v>48</v>
      </c>
      <c r="S59" s="15"/>
      <c r="T59" s="16"/>
      <c r="U59" s="16"/>
      <c r="V59" s="134"/>
      <c r="X59" s="133"/>
      <c r="Y59" s="149" t="s">
        <v>188</v>
      </c>
      <c r="Z59" s="128"/>
      <c r="AA59" s="128"/>
      <c r="AB59" s="128"/>
      <c r="AC59" s="32"/>
      <c r="AD59" s="134"/>
    </row>
    <row r="60" spans="10:33" x14ac:dyDescent="0.3">
      <c r="J60" s="133"/>
      <c r="K60" s="20"/>
      <c r="L60" s="15" t="s">
        <v>106</v>
      </c>
      <c r="M60" s="16"/>
      <c r="N60" s="119">
        <f>IFERROR(INDEX(tblFert[Humedad], MATCH($N$55, tblFert[Fertilizante orgánico], 0)), "")</f>
        <v>0</v>
      </c>
      <c r="O60" s="143"/>
      <c r="Q60" s="133"/>
      <c r="R60" s="17"/>
      <c r="S60" s="19" t="s">
        <v>128</v>
      </c>
      <c r="T60" s="19" t="s">
        <v>1</v>
      </c>
      <c r="U60" s="10" t="str">
        <f>'Balance de Nutrientes'!D88</f>
        <v>Choose one from the list</v>
      </c>
      <c r="V60" s="134"/>
      <c r="X60" s="133"/>
      <c r="Y60" s="149" t="s">
        <v>189</v>
      </c>
      <c r="Z60" s="128"/>
      <c r="AA60" s="128"/>
      <c r="AB60" s="128"/>
      <c r="AC60" s="32"/>
      <c r="AD60" s="134"/>
    </row>
    <row r="61" spans="10:33" ht="16.2" x14ac:dyDescent="0.3">
      <c r="J61" s="133"/>
      <c r="K61" s="20"/>
      <c r="L61" s="37" t="s">
        <v>7</v>
      </c>
      <c r="M61" s="16" t="s">
        <v>21</v>
      </c>
      <c r="N61" s="76">
        <f>$N$56*(1-IF($N$60&gt;1,$N$60/100,$N$60))*IF($N$57&gt;1,$N$57/100,$N$57)</f>
        <v>0</v>
      </c>
      <c r="O61" s="134"/>
      <c r="Q61" s="133"/>
      <c r="R61" s="22"/>
      <c r="S61" s="16" t="s">
        <v>132</v>
      </c>
      <c r="T61" s="16" t="s">
        <v>1</v>
      </c>
      <c r="U61" s="92" t="str">
        <f>IF(U60="", "", IF(V61="", "", IF(V61&gt;1, V61/100, V61)/17.24))</f>
        <v/>
      </c>
      <c r="V61" s="134" t="str">
        <f>IFERROR(INDEX(FERTILIZANTES!$F$28:$F$31, MATCH(U60, FERTILIZANTES!$E$28:$E$31, 0)), "")</f>
        <v/>
      </c>
      <c r="X61" s="133"/>
      <c r="Y61" s="150" t="s">
        <v>190</v>
      </c>
      <c r="Z61" s="128"/>
      <c r="AA61" s="128"/>
      <c r="AB61" s="128"/>
      <c r="AC61" s="32"/>
      <c r="AD61" s="134"/>
    </row>
    <row r="62" spans="10:33" ht="16.2" x14ac:dyDescent="0.3">
      <c r="J62" s="133"/>
      <c r="K62" s="20"/>
      <c r="L62" s="37" t="s">
        <v>7</v>
      </c>
      <c r="M62" s="16" t="s">
        <v>82</v>
      </c>
      <c r="N62" s="76">
        <f xml:space="preserve"> $N$56 * (1 - IF($N$60&gt;1, $N$60/100, $N$60)) * IF($N$58&gt;1, $N$58/100, $N$58)</f>
        <v>0</v>
      </c>
      <c r="O62" s="134"/>
      <c r="Q62" s="133"/>
      <c r="R62" s="22"/>
      <c r="S62" s="16" t="s">
        <v>125</v>
      </c>
      <c r="T62" s="16" t="s">
        <v>10</v>
      </c>
      <c r="U62" s="50">
        <v>0.3</v>
      </c>
      <c r="V62" s="134"/>
      <c r="X62" s="133"/>
      <c r="Y62" s="151"/>
      <c r="Z62" s="126"/>
      <c r="AA62" s="128"/>
      <c r="AB62" s="128"/>
      <c r="AC62" s="32"/>
      <c r="AD62" s="134"/>
    </row>
    <row r="63" spans="10:33" ht="17.399999999999999" customHeight="1" x14ac:dyDescent="0.3">
      <c r="J63" s="133"/>
      <c r="K63" s="20"/>
      <c r="L63" s="37" t="s">
        <v>7</v>
      </c>
      <c r="M63" s="16" t="s">
        <v>83</v>
      </c>
      <c r="N63" s="76">
        <f xml:space="preserve"> $N$56 * (1 - IF($N$60&gt;1, $N$60/100, $N$60)) * IF($N$59&gt;1, $N$59/100, $N$59)</f>
        <v>0</v>
      </c>
      <c r="O63" s="134"/>
      <c r="Q63" s="133"/>
      <c r="R63" s="22"/>
      <c r="S63" s="16" t="s">
        <v>94</v>
      </c>
      <c r="T63" s="16" t="s">
        <v>9</v>
      </c>
      <c r="U63" s="50">
        <v>1.33</v>
      </c>
      <c r="V63" s="134"/>
      <c r="X63" s="133"/>
      <c r="Y63" s="148" t="s">
        <v>182</v>
      </c>
      <c r="Z63" s="16"/>
      <c r="AA63" s="16"/>
      <c r="AB63" s="16"/>
      <c r="AC63" s="32"/>
      <c r="AD63" s="134"/>
      <c r="AG63" s="72"/>
    </row>
    <row r="64" spans="10:33" ht="16.2" x14ac:dyDescent="0.3">
      <c r="J64" s="133"/>
      <c r="K64" s="17"/>
      <c r="L64" s="29" t="s">
        <v>33</v>
      </c>
      <c r="M64" s="19" t="s">
        <v>38</v>
      </c>
      <c r="N64" s="75" t="str">
        <f>'Balance de Nutrientes'!D33</f>
        <v>Choose one from the list</v>
      </c>
      <c r="O64" s="134"/>
      <c r="Q64" s="133"/>
      <c r="R64" s="45"/>
      <c r="S64" s="16" t="s">
        <v>95</v>
      </c>
      <c r="T64" s="16" t="s">
        <v>27</v>
      </c>
      <c r="U64" s="44" t="e">
        <f xml:space="preserve"> (IF(OR(U61="",U62="",U63=""),"",  IF(U61&gt;1,U61/100,U61) * (U63*10000*U62*1000) * 0.02 ))*0.7</f>
        <v>#VALUE!</v>
      </c>
      <c r="V64" s="134"/>
      <c r="X64" s="133"/>
      <c r="Y64" s="149" t="s">
        <v>192</v>
      </c>
      <c r="Z64" s="128"/>
      <c r="AA64" s="128"/>
      <c r="AB64" s="16"/>
      <c r="AC64" s="32"/>
      <c r="AD64" s="134"/>
    </row>
    <row r="65" spans="10:33" ht="16.2" x14ac:dyDescent="0.3">
      <c r="J65" s="133"/>
      <c r="K65" s="20"/>
      <c r="L65" s="15" t="s">
        <v>32</v>
      </c>
      <c r="M65" s="16" t="s">
        <v>6</v>
      </c>
      <c r="N65" s="9">
        <f>'Balance de Nutrientes'!D34</f>
        <v>0</v>
      </c>
      <c r="O65" s="134"/>
      <c r="Q65" s="133"/>
      <c r="R65" s="45"/>
      <c r="S65" s="16" t="s">
        <v>126</v>
      </c>
      <c r="T65" s="16"/>
      <c r="U65" s="44" t="e">
        <f>AB17+U64-(U27+U38+U50+U57)</f>
        <v>#VALUE!</v>
      </c>
      <c r="V65" s="134"/>
      <c r="X65" s="133"/>
      <c r="Y65" s="149" t="s">
        <v>194</v>
      </c>
      <c r="Z65" s="128"/>
      <c r="AA65" s="128"/>
      <c r="AB65" s="16"/>
      <c r="AC65" s="32"/>
      <c r="AD65" s="134"/>
    </row>
    <row r="66" spans="10:33" ht="16.2" x14ac:dyDescent="0.3">
      <c r="J66" s="133"/>
      <c r="K66" s="20"/>
      <c r="L66" s="15" t="s">
        <v>105</v>
      </c>
      <c r="M66" s="16"/>
      <c r="N66" s="181">
        <f>IFERROR(INDEX(tblFert[N], MATCH($N$64, tblFert[Fertilizante orgánico], 0)), "")</f>
        <v>0</v>
      </c>
      <c r="O66" s="134"/>
      <c r="Q66" s="133"/>
      <c r="R66" s="33"/>
      <c r="S66" s="47" t="s">
        <v>43</v>
      </c>
      <c r="T66" s="48" t="s">
        <v>21</v>
      </c>
      <c r="U66" s="49" t="e">
        <f>IF(((0.000143*(U777^2))-(0.0229*U777))&lt;0,0,((0.000143*(U65^2))-(0.0229*U65)))</f>
        <v>#VALUE!</v>
      </c>
      <c r="V66" s="134"/>
      <c r="X66" s="133"/>
      <c r="Y66" s="149" t="s">
        <v>196</v>
      </c>
      <c r="Z66" s="128"/>
      <c r="AA66" s="128"/>
      <c r="AB66" s="16"/>
      <c r="AC66" s="32"/>
      <c r="AD66" s="134"/>
    </row>
    <row r="67" spans="10:33" x14ac:dyDescent="0.3">
      <c r="J67" s="133"/>
      <c r="K67" s="20"/>
      <c r="L67" s="15" t="s">
        <v>103</v>
      </c>
      <c r="M67" s="16"/>
      <c r="N67" s="156">
        <f>IFERROR(INDEX(tblFert[P], MATCH($N$64, tblFert[Fertilizante orgánico], 0)), "")</f>
        <v>0</v>
      </c>
      <c r="O67" s="134"/>
      <c r="Q67" s="133"/>
      <c r="R67" s="16"/>
      <c r="S67" s="15"/>
      <c r="T67" s="16"/>
      <c r="U67" s="16"/>
      <c r="V67" s="134"/>
      <c r="X67" s="133"/>
      <c r="Y67" s="20" t="s">
        <v>197</v>
      </c>
      <c r="Z67" s="128"/>
      <c r="AA67" s="128"/>
      <c r="AB67" s="16"/>
      <c r="AC67" s="32"/>
      <c r="AD67" s="134"/>
    </row>
    <row r="68" spans="10:33" ht="18" x14ac:dyDescent="0.35">
      <c r="J68" s="133"/>
      <c r="K68" s="20"/>
      <c r="L68" s="15" t="s">
        <v>104</v>
      </c>
      <c r="M68" s="16"/>
      <c r="N68" s="156">
        <f>IFERROR(INDEX(tblFert[K], MATCH($N$64, tblFert[Fertilizante orgánico], 0)), "")</f>
        <v>0</v>
      </c>
      <c r="O68" s="134"/>
      <c r="Q68" s="133"/>
      <c r="R68" s="46" t="s">
        <v>49</v>
      </c>
      <c r="S68" s="15"/>
      <c r="T68" s="16"/>
      <c r="U68" s="16"/>
      <c r="V68" s="134"/>
      <c r="X68" s="133"/>
      <c r="Y68" s="152" t="s">
        <v>193</v>
      </c>
      <c r="Z68" s="34"/>
      <c r="AA68" s="34"/>
      <c r="AB68" s="34"/>
      <c r="AC68" s="153"/>
      <c r="AD68" s="134"/>
      <c r="AE68" s="191"/>
    </row>
    <row r="69" spans="10:33" x14ac:dyDescent="0.3">
      <c r="J69" s="133"/>
      <c r="K69" s="20"/>
      <c r="L69" s="15" t="s">
        <v>106</v>
      </c>
      <c r="M69" s="16"/>
      <c r="N69" s="119">
        <f>IFERROR(INDEX(tblFert[Humedad], MATCH($N$64, tblFert[Fertilizante orgánico], 0)), "")</f>
        <v>0</v>
      </c>
      <c r="O69" s="134"/>
      <c r="Q69" s="133"/>
      <c r="R69" s="17"/>
      <c r="S69" s="19" t="s">
        <v>166</v>
      </c>
      <c r="T69" s="19" t="s">
        <v>1</v>
      </c>
      <c r="U69" s="10" t="str">
        <f>'Balance de Nutrientes'!D89</f>
        <v>Choose one from the list</v>
      </c>
      <c r="V69" s="134" t="str" cm="1">
        <f t="array" ref="V69">IFERROR(
INDEX(FERTILIZANTES!$C$28:$C$31,
MATCH(
TRIM(SUBSTITUTE(SUBSTITUTE(U69,"–","-"),"—","-")),
TRIM(SUBSTITUTE(SUBSTITUTE(FERTILIZANTES!$B$28:$B$31,"–","-"),"—","-")),
0
)
),
"")</f>
        <v/>
      </c>
      <c r="X69" s="133"/>
      <c r="Y69" s="166"/>
      <c r="Z69" s="166"/>
      <c r="AA69" s="166"/>
      <c r="AB69" s="166"/>
      <c r="AC69" s="166"/>
      <c r="AD69" s="134"/>
    </row>
    <row r="70" spans="10:33" ht="16.2" x14ac:dyDescent="0.3">
      <c r="J70" s="133"/>
      <c r="K70" s="20"/>
      <c r="L70" s="37" t="s">
        <v>7</v>
      </c>
      <c r="M70" s="16" t="s">
        <v>21</v>
      </c>
      <c r="N70" s="32">
        <f>$N$65*(1-IF($N$69&gt;1,$N$69/100,$N$69))*IF($N$66&gt;1,$N$66/100,$N$66)</f>
        <v>0</v>
      </c>
      <c r="O70" s="134"/>
      <c r="Q70" s="133"/>
      <c r="R70" s="20"/>
      <c r="S70" s="16" t="s">
        <v>159</v>
      </c>
      <c r="T70" s="16"/>
      <c r="U70" s="118" t="str">
        <f>'Balance de Nutrientes'!D90</f>
        <v>Choose one from the list</v>
      </c>
      <c r="V70" s="134"/>
      <c r="X70" s="133"/>
      <c r="Y70" s="166"/>
      <c r="Z70" s="166"/>
      <c r="AA70" s="166"/>
      <c r="AB70" s="166"/>
      <c r="AC70" s="166"/>
      <c r="AD70" s="134"/>
    </row>
    <row r="71" spans="10:33" ht="16.8" thickBot="1" x14ac:dyDescent="0.35">
      <c r="J71" s="133"/>
      <c r="K71" s="20"/>
      <c r="L71" s="37" t="s">
        <v>7</v>
      </c>
      <c r="M71" s="16" t="s">
        <v>82</v>
      </c>
      <c r="N71" s="76">
        <f xml:space="preserve"> $N$65 * (1 - IF($N$69&gt;1, $N$69/100, $N$69)) * IF($N$67&gt;1, $N$67/100, $N$67)</f>
        <v>0</v>
      </c>
      <c r="O71" s="134"/>
      <c r="Q71" s="133"/>
      <c r="R71" s="20"/>
      <c r="S71" s="16" t="s">
        <v>168</v>
      </c>
      <c r="T71" s="16" t="s">
        <v>167</v>
      </c>
      <c r="U71" s="32" t="e">
        <f>IF(OR(U69="",U70=""),"",V69*V71)</f>
        <v>#VALUE!</v>
      </c>
      <c r="V71" s="134" t="str">
        <f>IFERROR(
VALUE(SUBSTITUTE(SUBSTITUTE(SUBSTITUTE(
INDEX(FERTILIZANTES!$C$35:$C$38,
MATCH(TRIM(U70),FERTILIZANTES!$B$35:$B$38,0)
),
"×",""),"x",""),",",".")),
"")</f>
        <v/>
      </c>
      <c r="X71" s="133"/>
      <c r="Y71" s="136"/>
      <c r="Z71" s="136"/>
      <c r="AA71" s="136"/>
      <c r="AB71" s="137"/>
      <c r="AC71" s="137"/>
      <c r="AD71" s="137"/>
      <c r="AG71" s="72"/>
    </row>
    <row r="72" spans="10:33" ht="16.8" thickTop="1" x14ac:dyDescent="0.3">
      <c r="J72" s="133"/>
      <c r="K72" s="20"/>
      <c r="L72" s="37" t="s">
        <v>7</v>
      </c>
      <c r="M72" s="16" t="s">
        <v>83</v>
      </c>
      <c r="N72" s="76">
        <f xml:space="preserve"> $N$65 * (1 - IF($N$69&gt;1, $N$69/100, $N$69)) * IF($N$68&gt;1, $N$68/100, $N$68)</f>
        <v>0</v>
      </c>
      <c r="O72" s="134"/>
      <c r="Q72" s="133"/>
      <c r="R72" s="20"/>
      <c r="S72" s="16" t="s">
        <v>93</v>
      </c>
      <c r="T72" s="16" t="s">
        <v>1</v>
      </c>
      <c r="U72" s="92" t="str">
        <f>U61</f>
        <v/>
      </c>
      <c r="V72" s="134"/>
      <c r="X72" s="192"/>
      <c r="AD72" s="6"/>
    </row>
    <row r="73" spans="10:33" x14ac:dyDescent="0.3">
      <c r="J73" s="133"/>
      <c r="K73" s="17"/>
      <c r="L73" s="29" t="s">
        <v>34</v>
      </c>
      <c r="M73" s="19" t="s">
        <v>38</v>
      </c>
      <c r="N73" s="75" t="str">
        <f>'Balance de Nutrientes'!D36</f>
        <v>Choose one from the list</v>
      </c>
      <c r="O73" s="134"/>
      <c r="Q73" s="133"/>
      <c r="R73" s="20"/>
      <c r="S73" s="16" t="s">
        <v>123</v>
      </c>
      <c r="T73" s="16" t="s">
        <v>1</v>
      </c>
      <c r="U73" s="50">
        <v>2.2000000000000001E-3</v>
      </c>
      <c r="V73" s="134"/>
      <c r="X73" s="6"/>
      <c r="AD73" s="6"/>
      <c r="AG73" s="72"/>
    </row>
    <row r="74" spans="10:33" ht="16.2" x14ac:dyDescent="0.3">
      <c r="J74" s="133"/>
      <c r="K74" s="20"/>
      <c r="L74" s="15" t="s">
        <v>32</v>
      </c>
      <c r="M74" s="16" t="s">
        <v>6</v>
      </c>
      <c r="N74" s="7">
        <f>'Balance de Nutrientes'!D37</f>
        <v>0</v>
      </c>
      <c r="O74" s="134"/>
      <c r="Q74" s="133"/>
      <c r="R74" s="20"/>
      <c r="S74" s="16" t="s">
        <v>124</v>
      </c>
      <c r="T74" s="16" t="s">
        <v>1</v>
      </c>
      <c r="U74" s="50">
        <v>3.6999999999999998E-2</v>
      </c>
      <c r="V74" s="134"/>
      <c r="X74" s="4"/>
      <c r="AD74" s="6"/>
      <c r="AG74" s="72"/>
    </row>
    <row r="75" spans="10:33" ht="16.2" x14ac:dyDescent="0.3">
      <c r="J75" s="133"/>
      <c r="K75" s="20"/>
      <c r="L75" s="15" t="s">
        <v>102</v>
      </c>
      <c r="M75" s="16"/>
      <c r="N75" s="181">
        <f>IFERROR(INDEX(tblFert[N], MATCH($N$73, tblFert[Fertilizante orgánico], 0)), "")</f>
        <v>0</v>
      </c>
      <c r="O75" s="134"/>
      <c r="Q75" s="133"/>
      <c r="R75" s="20"/>
      <c r="S75" s="78" t="s">
        <v>43</v>
      </c>
      <c r="T75" s="79" t="s">
        <v>21</v>
      </c>
      <c r="U75" s="80" t="e">
        <f>($U$71*U72/100)*1000</f>
        <v>#VALUE!</v>
      </c>
      <c r="V75" s="134"/>
      <c r="AD75" s="4"/>
    </row>
    <row r="76" spans="10:33" ht="16.2" x14ac:dyDescent="0.3">
      <c r="J76" s="133"/>
      <c r="K76" s="20"/>
      <c r="L76" s="15" t="s">
        <v>108</v>
      </c>
      <c r="M76" s="16"/>
      <c r="N76" s="156">
        <f>IFERROR(INDEX(tblFert[P], MATCH($N$73, tblFert[Fertilizante orgánico], 0)), "")</f>
        <v>0</v>
      </c>
      <c r="O76" s="134"/>
      <c r="Q76" s="133"/>
      <c r="R76" s="20"/>
      <c r="S76" s="78" t="s">
        <v>43</v>
      </c>
      <c r="T76" s="79" t="s">
        <v>82</v>
      </c>
      <c r="U76" s="80" t="e">
        <f>($U$71*U73/100)*1000</f>
        <v>#VALUE!</v>
      </c>
      <c r="V76" s="134"/>
    </row>
    <row r="77" spans="10:33" ht="16.2" x14ac:dyDescent="0.3">
      <c r="J77" s="133"/>
      <c r="K77" s="20"/>
      <c r="L77" s="15" t="s">
        <v>107</v>
      </c>
      <c r="M77" s="16"/>
      <c r="N77" s="156">
        <f>IFERROR(INDEX(tblFert[K], MATCH($N$73, tblFert[Fertilizante orgánico], 0)), "")</f>
        <v>0</v>
      </c>
      <c r="O77" s="134"/>
      <c r="Q77" s="133"/>
      <c r="R77" s="33"/>
      <c r="S77" s="47" t="s">
        <v>43</v>
      </c>
      <c r="T77" s="48" t="s">
        <v>83</v>
      </c>
      <c r="U77" s="49" t="e">
        <f>($U$71*U74/100)*1000</f>
        <v>#VALUE!</v>
      </c>
      <c r="V77" s="134"/>
    </row>
    <row r="78" spans="10:33" ht="15" thickBot="1" x14ac:dyDescent="0.35">
      <c r="J78" s="133"/>
      <c r="K78" s="20"/>
      <c r="L78" s="15" t="s">
        <v>106</v>
      </c>
      <c r="M78" s="16"/>
      <c r="N78" s="119">
        <f>IFERROR(INDEX(tblFert[Humedad], MATCH($N$73, tblFert[Fertilizante orgánico], 0)), "")</f>
        <v>0</v>
      </c>
      <c r="O78" s="134"/>
      <c r="Q78" s="135"/>
      <c r="R78" s="137"/>
      <c r="S78" s="141"/>
      <c r="T78" s="137"/>
      <c r="U78" s="142"/>
      <c r="V78" s="138"/>
    </row>
    <row r="79" spans="10:33" ht="16.8" thickTop="1" x14ac:dyDescent="0.3">
      <c r="J79" s="133"/>
      <c r="K79" s="20"/>
      <c r="L79" s="37" t="s">
        <v>7</v>
      </c>
      <c r="M79" s="16" t="s">
        <v>21</v>
      </c>
      <c r="N79" s="76">
        <f>$N$74*(1-IF($N$78&gt;1,$N$78/100,$N$78))*IF($N$75&gt;1,$N$75/100,$N$75)</f>
        <v>0</v>
      </c>
      <c r="O79" s="134"/>
    </row>
    <row r="80" spans="10:33" ht="16.2" x14ac:dyDescent="0.3">
      <c r="J80" s="133"/>
      <c r="K80" s="20"/>
      <c r="L80" s="37" t="s">
        <v>7</v>
      </c>
      <c r="M80" s="16" t="s">
        <v>82</v>
      </c>
      <c r="N80" s="76">
        <f xml:space="preserve"> $N$74 * (1 - IF($N$78&gt;1, $N$78/100, $N$78)) * IF($N$76&gt;1, $N$76/100, $N$76)</f>
        <v>0</v>
      </c>
      <c r="O80" s="134"/>
    </row>
    <row r="81" spans="10:15" ht="16.2" x14ac:dyDescent="0.3">
      <c r="J81" s="133"/>
      <c r="K81" s="20"/>
      <c r="L81" s="37" t="s">
        <v>7</v>
      </c>
      <c r="M81" s="16" t="s">
        <v>83</v>
      </c>
      <c r="N81" s="76">
        <f xml:space="preserve"> $N$74 * (1 - IF($N$78&gt;1, $N$78/100, $N$78)) * IF($N$77&gt;1, $N$77/100, $N$77)</f>
        <v>0</v>
      </c>
      <c r="O81" s="134"/>
    </row>
    <row r="82" spans="10:15" x14ac:dyDescent="0.3">
      <c r="J82" s="133"/>
      <c r="K82" s="17"/>
      <c r="L82" s="29" t="s">
        <v>35</v>
      </c>
      <c r="M82" s="19" t="s">
        <v>38</v>
      </c>
      <c r="N82" s="75" t="str">
        <f>'Balance de Nutrientes'!D39</f>
        <v>Choose one from the list</v>
      </c>
      <c r="O82" s="134"/>
    </row>
    <row r="83" spans="10:15" ht="16.2" x14ac:dyDescent="0.3">
      <c r="J83" s="133"/>
      <c r="K83" s="20"/>
      <c r="L83" s="15" t="s">
        <v>32</v>
      </c>
      <c r="M83" s="16" t="s">
        <v>6</v>
      </c>
      <c r="N83" s="9">
        <f>'Balance de Nutrientes'!D40</f>
        <v>0</v>
      </c>
      <c r="O83" s="134"/>
    </row>
    <row r="84" spans="10:15" x14ac:dyDescent="0.3">
      <c r="J84" s="133"/>
      <c r="K84" s="20"/>
      <c r="L84" s="15" t="s">
        <v>102</v>
      </c>
      <c r="M84" s="16"/>
      <c r="N84" s="181">
        <f>IFERROR(INDEX(tblFert[N], MATCH($N$82, tblFert[Fertilizante orgánico], 0)), "")</f>
        <v>0</v>
      </c>
      <c r="O84" s="134"/>
    </row>
    <row r="85" spans="10:15" x14ac:dyDescent="0.3">
      <c r="J85" s="133"/>
      <c r="K85" s="20"/>
      <c r="L85" s="15" t="s">
        <v>108</v>
      </c>
      <c r="M85" s="16"/>
      <c r="N85" s="156">
        <f>IFERROR(INDEX(tblFert[P], MATCH($N$82, tblFert[Fertilizante orgánico], 0)), "")</f>
        <v>0</v>
      </c>
      <c r="O85" s="134"/>
    </row>
    <row r="86" spans="10:15" x14ac:dyDescent="0.3">
      <c r="J86" s="133"/>
      <c r="K86" s="20"/>
      <c r="L86" s="15" t="s">
        <v>107</v>
      </c>
      <c r="M86" s="16"/>
      <c r="N86" s="156">
        <f>IFERROR(INDEX(tblFert[K], MATCH($N$82, tblFert[Fertilizante orgánico], 0)), "")</f>
        <v>0</v>
      </c>
      <c r="O86" s="134"/>
    </row>
    <row r="87" spans="10:15" x14ac:dyDescent="0.3">
      <c r="J87" s="133"/>
      <c r="K87" s="20"/>
      <c r="L87" s="15" t="s">
        <v>106</v>
      </c>
      <c r="M87" s="16"/>
      <c r="N87" s="119">
        <f>IFERROR(INDEX(tblFert[Humedad], MATCH($N$82, tblFert[Fertilizante orgánico], 0)), "")</f>
        <v>0</v>
      </c>
      <c r="O87" s="134"/>
    </row>
    <row r="88" spans="10:15" ht="16.2" x14ac:dyDescent="0.3">
      <c r="J88" s="133"/>
      <c r="K88" s="20"/>
      <c r="L88" s="37" t="s">
        <v>7</v>
      </c>
      <c r="M88" s="16" t="s">
        <v>21</v>
      </c>
      <c r="N88" s="76">
        <f>$N$83*(1-IF($N$87&gt;1,$N$87/100,$N$87))*IF($N$84&gt;1,$N$84/100,$N$84)</f>
        <v>0</v>
      </c>
      <c r="O88" s="134"/>
    </row>
    <row r="89" spans="10:15" ht="16.2" x14ac:dyDescent="0.3">
      <c r="J89" s="133"/>
      <c r="K89" s="20"/>
      <c r="L89" s="37" t="s">
        <v>7</v>
      </c>
      <c r="M89" s="16" t="s">
        <v>82</v>
      </c>
      <c r="N89" s="76">
        <f xml:space="preserve"> $N$83 * (1 - IF($N$87&gt;1, $N$87/100, $N$87)) * IF($N$85&gt;1, $N$85/100, $N$85)</f>
        <v>0</v>
      </c>
      <c r="O89" s="134"/>
    </row>
    <row r="90" spans="10:15" ht="16.2" x14ac:dyDescent="0.3">
      <c r="J90" s="133"/>
      <c r="K90" s="20"/>
      <c r="L90" s="37" t="s">
        <v>7</v>
      </c>
      <c r="M90" s="16" t="s">
        <v>83</v>
      </c>
      <c r="N90" s="76">
        <f xml:space="preserve"> $N$83 * (1 - IF($N$87&gt;1, $N$87/100, $N$87)) * IF($N$86&gt;1, $N$86/100, $N$86)</f>
        <v>0</v>
      </c>
      <c r="O90" s="134"/>
    </row>
    <row r="91" spans="10:15" x14ac:dyDescent="0.3">
      <c r="J91" s="133"/>
      <c r="K91" s="17"/>
      <c r="L91" s="29" t="s">
        <v>36</v>
      </c>
      <c r="M91" s="19" t="s">
        <v>38</v>
      </c>
      <c r="N91" s="75" t="str">
        <f>'Balance de Nutrientes'!D42</f>
        <v>Choose one from the list</v>
      </c>
      <c r="O91" s="134"/>
    </row>
    <row r="92" spans="10:15" ht="16.2" x14ac:dyDescent="0.3">
      <c r="J92" s="133"/>
      <c r="K92" s="20"/>
      <c r="L92" s="15" t="s">
        <v>32</v>
      </c>
      <c r="M92" s="16" t="s">
        <v>6</v>
      </c>
      <c r="N92" s="9">
        <f>'Balance de Nutrientes'!D43</f>
        <v>0</v>
      </c>
      <c r="O92" s="134"/>
    </row>
    <row r="93" spans="10:15" x14ac:dyDescent="0.3">
      <c r="J93" s="133"/>
      <c r="K93" s="20"/>
      <c r="L93" s="15" t="s">
        <v>102</v>
      </c>
      <c r="M93" s="16"/>
      <c r="N93" s="181">
        <f>IFERROR(INDEX(tblFert[N], MATCH($N$91, tblFert[Fertilizante orgánico], 0)), "")</f>
        <v>0</v>
      </c>
      <c r="O93" s="134"/>
    </row>
    <row r="94" spans="10:15" x14ac:dyDescent="0.3">
      <c r="J94" s="133"/>
      <c r="K94" s="20"/>
      <c r="L94" s="15" t="s">
        <v>108</v>
      </c>
      <c r="M94" s="16"/>
      <c r="N94" s="156">
        <f>IFERROR(INDEX(tblFert[P], MATCH($N$91, tblFert[Fertilizante orgánico], 0)), "")</f>
        <v>0</v>
      </c>
      <c r="O94" s="134"/>
    </row>
    <row r="95" spans="10:15" x14ac:dyDescent="0.3">
      <c r="J95" s="133"/>
      <c r="K95" s="20"/>
      <c r="L95" s="15" t="s">
        <v>107</v>
      </c>
      <c r="M95" s="16"/>
      <c r="N95" s="156">
        <f>IFERROR(INDEX(tblFert[K], MATCH($N$91, tblFert[Fertilizante orgánico], 0)), "")</f>
        <v>0</v>
      </c>
      <c r="O95" s="134"/>
    </row>
    <row r="96" spans="10:15" x14ac:dyDescent="0.3">
      <c r="J96" s="133"/>
      <c r="K96" s="20"/>
      <c r="L96" s="15" t="s">
        <v>106</v>
      </c>
      <c r="M96" s="16"/>
      <c r="N96" s="119">
        <f>IFERROR(INDEX(tblFert[Humedad], MATCH($N$91, tblFert[Fertilizante orgánico], 0)), "")</f>
        <v>0</v>
      </c>
      <c r="O96" s="134"/>
    </row>
    <row r="97" spans="6:19" ht="16.2" x14ac:dyDescent="0.3">
      <c r="J97" s="133"/>
      <c r="K97" s="20"/>
      <c r="L97" s="37" t="s">
        <v>7</v>
      </c>
      <c r="M97" s="16" t="s">
        <v>21</v>
      </c>
      <c r="N97" s="76">
        <f>$N$92*(1-IF($N$96&gt;1,$N$96/100,$N$96))*IF($N$93&gt;1,$N$93/100,$N$93)</f>
        <v>0</v>
      </c>
      <c r="O97" s="134"/>
      <c r="S97" t="s">
        <v>169</v>
      </c>
    </row>
    <row r="98" spans="6:19" ht="16.2" x14ac:dyDescent="0.3">
      <c r="J98" s="133"/>
      <c r="K98" s="20"/>
      <c r="L98" s="37" t="s">
        <v>7</v>
      </c>
      <c r="M98" s="16" t="s">
        <v>82</v>
      </c>
      <c r="N98" s="76">
        <f xml:space="preserve"> $N$92 * (1 - IF($N$96&gt;1, $N$96/100, $N$96)) * IF($N$94&gt;1, $N$94/100, $N$94)</f>
        <v>0</v>
      </c>
      <c r="O98" s="134"/>
    </row>
    <row r="99" spans="6:19" ht="16.2" x14ac:dyDescent="0.3">
      <c r="J99" s="133"/>
      <c r="K99" s="20"/>
      <c r="L99" s="37" t="s">
        <v>7</v>
      </c>
      <c r="M99" s="16" t="s">
        <v>83</v>
      </c>
      <c r="N99" s="76">
        <f xml:space="preserve"> $N$92 * (1 - IF($N$96&gt;1, $N$96/100, $N$96)) * IF($N$95&gt;1, $N$95/100, $N$95)</f>
        <v>0</v>
      </c>
      <c r="O99" s="134"/>
    </row>
    <row r="100" spans="6:19" ht="16.2" x14ac:dyDescent="0.3">
      <c r="J100" s="133"/>
      <c r="K100" s="20"/>
      <c r="L100" s="64" t="s">
        <v>20</v>
      </c>
      <c r="M100" s="65" t="s">
        <v>21</v>
      </c>
      <c r="N100" s="66">
        <f>SUM(N61,N70,N88,N79,N97)</f>
        <v>0</v>
      </c>
      <c r="O100" s="134"/>
    </row>
    <row r="101" spans="6:19" ht="16.2" x14ac:dyDescent="0.3">
      <c r="J101" s="133"/>
      <c r="K101" s="20"/>
      <c r="L101" s="64" t="s">
        <v>20</v>
      </c>
      <c r="M101" s="65" t="s">
        <v>82</v>
      </c>
      <c r="N101" s="66">
        <f>SUM(N62,N71,N80,N89,N98)</f>
        <v>0</v>
      </c>
      <c r="O101" s="134"/>
    </row>
    <row r="102" spans="6:19" ht="16.2" x14ac:dyDescent="0.3">
      <c r="J102" s="133"/>
      <c r="K102" s="33"/>
      <c r="L102" s="25" t="s">
        <v>20</v>
      </c>
      <c r="M102" s="26" t="s">
        <v>83</v>
      </c>
      <c r="N102" s="27">
        <f>SUM(N63,N72,N81,N90,N99)</f>
        <v>0</v>
      </c>
      <c r="O102" s="134"/>
    </row>
    <row r="103" spans="6:19" x14ac:dyDescent="0.3">
      <c r="J103" s="133"/>
      <c r="K103" s="16"/>
      <c r="L103" s="15"/>
      <c r="M103" s="16"/>
      <c r="N103" s="36"/>
      <c r="O103" s="134"/>
    </row>
    <row r="104" spans="6:19" ht="18" x14ac:dyDescent="0.35">
      <c r="F104" s="74"/>
      <c r="J104" s="133"/>
      <c r="K104" s="14" t="s">
        <v>25</v>
      </c>
      <c r="L104" s="15"/>
      <c r="M104" s="16"/>
      <c r="N104" s="36"/>
      <c r="O104" s="134"/>
    </row>
    <row r="105" spans="6:19" x14ac:dyDescent="0.3">
      <c r="J105" s="133"/>
      <c r="K105" s="17"/>
      <c r="L105" s="29" t="s">
        <v>31</v>
      </c>
      <c r="M105" s="19" t="s">
        <v>38</v>
      </c>
      <c r="N105" s="8" t="str">
        <f>'Balance de Nutrientes'!D46</f>
        <v>Choose one from the list</v>
      </c>
      <c r="O105" s="143"/>
    </row>
    <row r="106" spans="6:19" ht="16.2" x14ac:dyDescent="0.3">
      <c r="J106" s="133"/>
      <c r="K106" s="20"/>
      <c r="L106" s="15" t="s">
        <v>41</v>
      </c>
      <c r="M106" s="16" t="s">
        <v>6</v>
      </c>
      <c r="N106" s="85">
        <f>'Balance de Nutrientes'!D47</f>
        <v>0</v>
      </c>
      <c r="O106" s="143"/>
    </row>
    <row r="107" spans="6:19" x14ac:dyDescent="0.3">
      <c r="J107" s="133"/>
      <c r="K107" s="20"/>
      <c r="L107" s="15" t="s">
        <v>42</v>
      </c>
      <c r="M107" s="16" t="s">
        <v>1</v>
      </c>
      <c r="N107" s="85">
        <f>'Balance de Nutrientes'!D48</f>
        <v>0</v>
      </c>
      <c r="O107" s="143"/>
    </row>
    <row r="108" spans="6:19" x14ac:dyDescent="0.3">
      <c r="J108" s="133"/>
      <c r="K108" s="20"/>
      <c r="L108" s="15" t="s">
        <v>78</v>
      </c>
      <c r="M108" s="16" t="s">
        <v>1</v>
      </c>
      <c r="N108" s="85">
        <f>'Balance de Nutrientes'!D49</f>
        <v>0</v>
      </c>
      <c r="O108" s="143"/>
    </row>
    <row r="109" spans="6:19" x14ac:dyDescent="0.3">
      <c r="J109" s="133"/>
      <c r="K109" s="20"/>
      <c r="L109" s="15" t="s">
        <v>79</v>
      </c>
      <c r="M109" s="16" t="s">
        <v>1</v>
      </c>
      <c r="N109" s="85">
        <f>'Balance de Nutrientes'!D50</f>
        <v>0</v>
      </c>
      <c r="O109" s="143"/>
    </row>
    <row r="110" spans="6:19" ht="16.2" x14ac:dyDescent="0.3">
      <c r="J110" s="133"/>
      <c r="K110" s="20"/>
      <c r="L110" s="37" t="s">
        <v>7</v>
      </c>
      <c r="M110" s="16" t="s">
        <v>21</v>
      </c>
      <c r="N110" s="68">
        <f>$N$106*N107/100</f>
        <v>0</v>
      </c>
      <c r="O110" s="143"/>
    </row>
    <row r="111" spans="6:19" ht="16.2" x14ac:dyDescent="0.3">
      <c r="J111" s="133"/>
      <c r="K111" s="20"/>
      <c r="L111" s="37" t="s">
        <v>7</v>
      </c>
      <c r="M111" s="16" t="s">
        <v>80</v>
      </c>
      <c r="N111" s="68">
        <f>N106*N108/100*IF(OR(N105="NPK granulados",N105="NPK solubles"),0.436,1)</f>
        <v>0</v>
      </c>
      <c r="O111" s="143"/>
    </row>
    <row r="112" spans="6:19" ht="16.2" x14ac:dyDescent="0.3">
      <c r="J112" s="133"/>
      <c r="K112" s="20"/>
      <c r="L112" s="37" t="s">
        <v>7</v>
      </c>
      <c r="M112" s="16" t="s">
        <v>81</v>
      </c>
      <c r="N112" s="68">
        <f>N106*N109/100*IF(OR(N105="NPK granulados",N105="NPK solubles"),0.83,1)</f>
        <v>0</v>
      </c>
      <c r="O112" s="143"/>
    </row>
    <row r="113" spans="10:15" x14ac:dyDescent="0.3">
      <c r="J113" s="133"/>
      <c r="K113" s="30"/>
      <c r="L113" s="29" t="s">
        <v>33</v>
      </c>
      <c r="M113" s="19" t="s">
        <v>38</v>
      </c>
      <c r="N113" s="8" t="str">
        <f>'Balance de Nutrientes'!D52</f>
        <v>Choose one from the list</v>
      </c>
      <c r="O113" s="143"/>
    </row>
    <row r="114" spans="10:15" ht="16.2" x14ac:dyDescent="0.3">
      <c r="J114" s="133"/>
      <c r="K114" s="20"/>
      <c r="L114" s="15" t="s">
        <v>41</v>
      </c>
      <c r="M114" s="16" t="s">
        <v>6</v>
      </c>
      <c r="N114" s="9">
        <f>'Balance de Nutrientes'!D53</f>
        <v>0</v>
      </c>
      <c r="O114" s="143"/>
    </row>
    <row r="115" spans="10:15" x14ac:dyDescent="0.3">
      <c r="J115" s="133"/>
      <c r="K115" s="20"/>
      <c r="L115" s="15" t="s">
        <v>42</v>
      </c>
      <c r="M115" s="16" t="s">
        <v>1</v>
      </c>
      <c r="N115" s="212">
        <f>'Balance de Nutrientes'!D54</f>
        <v>0</v>
      </c>
      <c r="O115" s="143"/>
    </row>
    <row r="116" spans="10:15" x14ac:dyDescent="0.3">
      <c r="J116" s="133"/>
      <c r="K116" s="20"/>
      <c r="L116" s="15" t="s">
        <v>78</v>
      </c>
      <c r="M116" s="16" t="s">
        <v>1</v>
      </c>
      <c r="N116" s="212">
        <f>'Balance de Nutrientes'!D55</f>
        <v>0</v>
      </c>
      <c r="O116" s="143"/>
    </row>
    <row r="117" spans="10:15" x14ac:dyDescent="0.3">
      <c r="J117" s="133"/>
      <c r="K117" s="20"/>
      <c r="L117" s="15" t="s">
        <v>79</v>
      </c>
      <c r="M117" s="16" t="s">
        <v>1</v>
      </c>
      <c r="N117" s="7">
        <f>'Balance de Nutrientes'!D56</f>
        <v>0</v>
      </c>
      <c r="O117" s="143"/>
    </row>
    <row r="118" spans="10:15" ht="16.2" x14ac:dyDescent="0.3">
      <c r="J118" s="133"/>
      <c r="K118" s="20"/>
      <c r="L118" s="37" t="s">
        <v>7</v>
      </c>
      <c r="M118" s="16" t="s">
        <v>21</v>
      </c>
      <c r="N118" s="68">
        <f>$N$106*N115/100</f>
        <v>0</v>
      </c>
      <c r="O118" s="143"/>
    </row>
    <row r="119" spans="10:15" ht="16.2" x14ac:dyDescent="0.3">
      <c r="J119" s="133"/>
      <c r="K119" s="20"/>
      <c r="L119" s="37" t="s">
        <v>7</v>
      </c>
      <c r="M119" s="16" t="s">
        <v>80</v>
      </c>
      <c r="N119" s="68">
        <f>N114*N116/100*IF(OR(N113="NPK granulados",N113="NPK solubles"),0.436,1)</f>
        <v>0</v>
      </c>
      <c r="O119" s="143"/>
    </row>
    <row r="120" spans="10:15" ht="16.2" x14ac:dyDescent="0.3">
      <c r="J120" s="133"/>
      <c r="K120" s="33"/>
      <c r="L120" s="37" t="s">
        <v>7</v>
      </c>
      <c r="M120" s="16" t="s">
        <v>81</v>
      </c>
      <c r="N120" s="68">
        <f>N114*N117/100*IF(OR(N113="NPK granulados",N113="NPK solubles"),0.83,1)</f>
        <v>0</v>
      </c>
      <c r="O120" s="143"/>
    </row>
    <row r="121" spans="10:15" x14ac:dyDescent="0.3">
      <c r="J121" s="133"/>
      <c r="K121" s="20"/>
      <c r="L121" s="29" t="s">
        <v>34</v>
      </c>
      <c r="M121" s="19" t="s">
        <v>38</v>
      </c>
      <c r="N121" s="8" t="str">
        <f>'Balance de Nutrientes'!D58</f>
        <v>Choose one from the list</v>
      </c>
      <c r="O121" s="143"/>
    </row>
    <row r="122" spans="10:15" ht="16.2" x14ac:dyDescent="0.3">
      <c r="J122" s="133"/>
      <c r="K122" s="20"/>
      <c r="L122" s="15" t="s">
        <v>41</v>
      </c>
      <c r="M122" s="16" t="s">
        <v>6</v>
      </c>
      <c r="N122" s="9">
        <f>'Balance de Nutrientes'!D59</f>
        <v>0</v>
      </c>
      <c r="O122" s="143"/>
    </row>
    <row r="123" spans="10:15" x14ac:dyDescent="0.3">
      <c r="J123" s="133"/>
      <c r="K123" s="20"/>
      <c r="L123" s="15" t="s">
        <v>42</v>
      </c>
      <c r="M123" s="16" t="s">
        <v>1</v>
      </c>
      <c r="N123" s="9">
        <f>'Balance de Nutrientes'!D60</f>
        <v>0</v>
      </c>
      <c r="O123" s="143"/>
    </row>
    <row r="124" spans="10:15" x14ac:dyDescent="0.3">
      <c r="J124" s="133"/>
      <c r="K124" s="20"/>
      <c r="L124" s="15" t="s">
        <v>78</v>
      </c>
      <c r="M124" s="16" t="s">
        <v>1</v>
      </c>
      <c r="N124" s="9">
        <f>'Balance de Nutrientes'!D61</f>
        <v>0</v>
      </c>
      <c r="O124" s="143"/>
    </row>
    <row r="125" spans="10:15" x14ac:dyDescent="0.3">
      <c r="J125" s="133"/>
      <c r="K125" s="20"/>
      <c r="L125" s="15" t="s">
        <v>79</v>
      </c>
      <c r="M125" s="16" t="s">
        <v>1</v>
      </c>
      <c r="N125" s="9">
        <f>'Balance de Nutrientes'!D62</f>
        <v>0</v>
      </c>
      <c r="O125" s="143"/>
    </row>
    <row r="126" spans="10:15" ht="16.2" x14ac:dyDescent="0.3">
      <c r="J126" s="133"/>
      <c r="K126" s="20"/>
      <c r="L126" s="37" t="s">
        <v>7</v>
      </c>
      <c r="M126" s="16" t="s">
        <v>21</v>
      </c>
      <c r="N126" s="68">
        <f>$N$106*N123/100</f>
        <v>0</v>
      </c>
      <c r="O126" s="143"/>
    </row>
    <row r="127" spans="10:15" ht="16.2" x14ac:dyDescent="0.3">
      <c r="J127" s="133"/>
      <c r="K127" s="20"/>
      <c r="L127" s="37" t="s">
        <v>7</v>
      </c>
      <c r="M127" s="16" t="s">
        <v>80</v>
      </c>
      <c r="N127" s="68">
        <f>N122*N124/100*IF(OR(N121="NPK granulados",N121="NPK solubles"),0.436,1)</f>
        <v>0</v>
      </c>
      <c r="O127" s="143"/>
    </row>
    <row r="128" spans="10:15" ht="16.2" x14ac:dyDescent="0.3">
      <c r="J128" s="133"/>
      <c r="K128" s="33"/>
      <c r="L128" s="37" t="s">
        <v>7</v>
      </c>
      <c r="M128" s="16" t="s">
        <v>81</v>
      </c>
      <c r="N128" s="68">
        <f>N122*N125/100*IF(OR(N121="NPK granulados",N121="NPK solubles"),0.83,1)</f>
        <v>0</v>
      </c>
      <c r="O128" s="143"/>
    </row>
    <row r="129" spans="10:16" x14ac:dyDescent="0.3">
      <c r="J129" s="133"/>
      <c r="K129" s="20"/>
      <c r="L129" s="29" t="s">
        <v>35</v>
      </c>
      <c r="M129" s="19" t="s">
        <v>38</v>
      </c>
      <c r="N129" s="8" t="str">
        <f>'Balance de Nutrientes'!D64</f>
        <v>Choose one from the list</v>
      </c>
      <c r="O129" s="143"/>
    </row>
    <row r="130" spans="10:16" ht="16.2" x14ac:dyDescent="0.3">
      <c r="J130" s="133"/>
      <c r="K130" s="20"/>
      <c r="L130" s="15" t="s">
        <v>41</v>
      </c>
      <c r="M130" s="16" t="s">
        <v>6</v>
      </c>
      <c r="N130" s="9">
        <f>'Balance de Nutrientes'!D65</f>
        <v>0</v>
      </c>
      <c r="O130" s="143"/>
      <c r="P130" s="67"/>
    </row>
    <row r="131" spans="10:16" x14ac:dyDescent="0.3">
      <c r="J131" s="133"/>
      <c r="K131" s="20"/>
      <c r="L131" s="15" t="s">
        <v>42</v>
      </c>
      <c r="M131" s="16" t="s">
        <v>1</v>
      </c>
      <c r="N131" s="9">
        <f>'Balance de Nutrientes'!D66</f>
        <v>0</v>
      </c>
      <c r="O131" s="143"/>
      <c r="P131" s="67"/>
    </row>
    <row r="132" spans="10:16" x14ac:dyDescent="0.3">
      <c r="J132" s="133"/>
      <c r="K132" s="20"/>
      <c r="L132" s="15" t="s">
        <v>78</v>
      </c>
      <c r="M132" s="16" t="s">
        <v>1</v>
      </c>
      <c r="N132" s="9">
        <f>'Balance de Nutrientes'!D67</f>
        <v>0</v>
      </c>
      <c r="O132" s="143"/>
      <c r="P132" s="67"/>
    </row>
    <row r="133" spans="10:16" x14ac:dyDescent="0.3">
      <c r="J133" s="133"/>
      <c r="K133" s="20"/>
      <c r="L133" s="15" t="s">
        <v>79</v>
      </c>
      <c r="M133" s="16" t="s">
        <v>1</v>
      </c>
      <c r="N133" s="9">
        <f>'Balance de Nutrientes'!D68</f>
        <v>0</v>
      </c>
      <c r="O133" s="143"/>
      <c r="P133" s="67"/>
    </row>
    <row r="134" spans="10:16" ht="16.2" x14ac:dyDescent="0.3">
      <c r="J134" s="133"/>
      <c r="K134" s="20"/>
      <c r="L134" s="37" t="s">
        <v>7</v>
      </c>
      <c r="M134" s="16" t="s">
        <v>21</v>
      </c>
      <c r="N134" s="68">
        <f>$N$106*N131/100</f>
        <v>0</v>
      </c>
      <c r="O134" s="143"/>
    </row>
    <row r="135" spans="10:16" ht="16.2" x14ac:dyDescent="0.3">
      <c r="J135" s="133"/>
      <c r="K135" s="20"/>
      <c r="L135" s="37" t="s">
        <v>7</v>
      </c>
      <c r="M135" s="16" t="s">
        <v>80</v>
      </c>
      <c r="N135" s="68">
        <f>N130*N132/100*IF(OR(N129="NPK granulados",N129="NPK solubles"),0.436,1)</f>
        <v>0</v>
      </c>
      <c r="O135" s="143"/>
    </row>
    <row r="136" spans="10:16" ht="16.2" x14ac:dyDescent="0.3">
      <c r="J136" s="133"/>
      <c r="K136" s="33"/>
      <c r="L136" s="37" t="s">
        <v>7</v>
      </c>
      <c r="M136" s="16" t="s">
        <v>81</v>
      </c>
      <c r="N136" s="68">
        <f>N130*N133/100*IF(OR(N129="NPK granulados",N129="NPK solubles"),0.83,1)</f>
        <v>0</v>
      </c>
      <c r="O136" s="143"/>
    </row>
    <row r="137" spans="10:16" x14ac:dyDescent="0.3">
      <c r="J137" s="133"/>
      <c r="K137" s="20"/>
      <c r="L137" s="29" t="s">
        <v>36</v>
      </c>
      <c r="M137" s="19" t="s">
        <v>38</v>
      </c>
      <c r="N137" s="8" t="str">
        <f>'Balance de Nutrientes'!D70</f>
        <v>Choose one from the list</v>
      </c>
      <c r="O137" s="143"/>
    </row>
    <row r="138" spans="10:16" ht="16.2" x14ac:dyDescent="0.3">
      <c r="J138" s="133"/>
      <c r="K138" s="20"/>
      <c r="L138" s="15" t="s">
        <v>41</v>
      </c>
      <c r="M138" s="16" t="s">
        <v>6</v>
      </c>
      <c r="N138" s="9">
        <f>'Balance de Nutrientes'!D71</f>
        <v>0</v>
      </c>
      <c r="O138" s="143"/>
    </row>
    <row r="139" spans="10:16" x14ac:dyDescent="0.3">
      <c r="J139" s="133"/>
      <c r="K139" s="20"/>
      <c r="L139" s="15" t="s">
        <v>42</v>
      </c>
      <c r="M139" s="16" t="s">
        <v>1</v>
      </c>
      <c r="N139" s="9">
        <f>'Balance de Nutrientes'!D72</f>
        <v>0</v>
      </c>
      <c r="O139" s="143"/>
    </row>
    <row r="140" spans="10:16" x14ac:dyDescent="0.3">
      <c r="J140" s="133"/>
      <c r="K140" s="20"/>
      <c r="L140" s="15" t="s">
        <v>78</v>
      </c>
      <c r="M140" s="16" t="s">
        <v>1</v>
      </c>
      <c r="N140" s="9">
        <f>'Balance de Nutrientes'!D73</f>
        <v>0</v>
      </c>
      <c r="O140" s="134"/>
    </row>
    <row r="141" spans="10:16" x14ac:dyDescent="0.3">
      <c r="J141" s="133"/>
      <c r="K141" s="20"/>
      <c r="L141" s="15" t="s">
        <v>79</v>
      </c>
      <c r="M141" s="16" t="s">
        <v>1</v>
      </c>
      <c r="N141" s="9">
        <f>'Balance de Nutrientes'!D74</f>
        <v>0</v>
      </c>
      <c r="O141" s="134"/>
    </row>
    <row r="142" spans="10:16" ht="16.2" x14ac:dyDescent="0.3">
      <c r="J142" s="133"/>
      <c r="K142" s="20"/>
      <c r="L142" s="37" t="s">
        <v>7</v>
      </c>
      <c r="M142" s="16" t="s">
        <v>21</v>
      </c>
      <c r="N142" s="68">
        <f>$N$106*N139/100</f>
        <v>0</v>
      </c>
      <c r="O142" s="134"/>
    </row>
    <row r="143" spans="10:16" ht="16.2" x14ac:dyDescent="0.3">
      <c r="J143" s="133"/>
      <c r="K143" s="20"/>
      <c r="L143" s="37" t="s">
        <v>7</v>
      </c>
      <c r="M143" s="16" t="s">
        <v>80</v>
      </c>
      <c r="N143" s="68">
        <f>N138*N140/100*IF(OR(N137="NPK granulados",N137="NPK solubles"),0.436,1)</f>
        <v>0</v>
      </c>
      <c r="O143" s="134"/>
    </row>
    <row r="144" spans="10:16" ht="16.2" x14ac:dyDescent="0.3">
      <c r="J144" s="133"/>
      <c r="K144" s="33"/>
      <c r="L144" s="37" t="s">
        <v>7</v>
      </c>
      <c r="M144" s="16" t="s">
        <v>81</v>
      </c>
      <c r="N144" s="68">
        <f>N138*N141/100*IF(OR(N137="NPK granulados",N137="NPK solubles"),0.83,1)</f>
        <v>0</v>
      </c>
      <c r="O144" s="134"/>
    </row>
    <row r="145" spans="10:15" x14ac:dyDescent="0.3">
      <c r="J145" s="133"/>
      <c r="K145" s="20"/>
      <c r="L145" s="29" t="s">
        <v>37</v>
      </c>
      <c r="M145" s="19" t="s">
        <v>38</v>
      </c>
      <c r="N145" s="8" t="str">
        <f>'Balance de Nutrientes'!D76</f>
        <v>Choose one from the list</v>
      </c>
      <c r="O145" s="143"/>
    </row>
    <row r="146" spans="10:15" ht="16.2" x14ac:dyDescent="0.3">
      <c r="J146" s="133"/>
      <c r="K146" s="20"/>
      <c r="L146" s="15" t="s">
        <v>41</v>
      </c>
      <c r="M146" s="16" t="s">
        <v>6</v>
      </c>
      <c r="N146" s="9">
        <f>'Balance de Nutrientes'!D77</f>
        <v>0</v>
      </c>
      <c r="O146" s="143"/>
    </row>
    <row r="147" spans="10:15" x14ac:dyDescent="0.3">
      <c r="J147" s="133"/>
      <c r="K147" s="20"/>
      <c r="L147" s="15" t="s">
        <v>42</v>
      </c>
      <c r="M147" s="16" t="s">
        <v>1</v>
      </c>
      <c r="N147" s="9">
        <f>'Balance de Nutrientes'!D78</f>
        <v>0</v>
      </c>
      <c r="O147" s="143"/>
    </row>
    <row r="148" spans="10:15" x14ac:dyDescent="0.3">
      <c r="J148" s="133"/>
      <c r="K148" s="20"/>
      <c r="L148" s="15" t="s">
        <v>78</v>
      </c>
      <c r="M148" s="16" t="s">
        <v>1</v>
      </c>
      <c r="N148" s="9">
        <f>'Balance de Nutrientes'!D79</f>
        <v>0</v>
      </c>
      <c r="O148" s="134"/>
    </row>
    <row r="149" spans="10:15" x14ac:dyDescent="0.3">
      <c r="J149" s="133"/>
      <c r="K149" s="20"/>
      <c r="L149" s="15" t="s">
        <v>79</v>
      </c>
      <c r="M149" s="16" t="s">
        <v>1</v>
      </c>
      <c r="N149" s="9">
        <f>'Balance de Nutrientes'!D80</f>
        <v>0</v>
      </c>
      <c r="O149" s="134"/>
    </row>
    <row r="150" spans="10:15" ht="16.2" x14ac:dyDescent="0.3">
      <c r="J150" s="133"/>
      <c r="K150" s="20"/>
      <c r="L150" s="37" t="s">
        <v>7</v>
      </c>
      <c r="M150" s="16" t="s">
        <v>21</v>
      </c>
      <c r="N150" s="68">
        <f>$N$106*N147/100</f>
        <v>0</v>
      </c>
      <c r="O150" s="134"/>
    </row>
    <row r="151" spans="10:15" ht="16.2" x14ac:dyDescent="0.3">
      <c r="J151" s="133"/>
      <c r="K151" s="20"/>
      <c r="L151" s="37" t="s">
        <v>7</v>
      </c>
      <c r="M151" s="16" t="s">
        <v>80</v>
      </c>
      <c r="N151" s="68">
        <f>N146*N148/100*IF(OR(N145="NPK granulados",N145="NPK solubles"),0.436,1)</f>
        <v>0</v>
      </c>
      <c r="O151" s="134"/>
    </row>
    <row r="152" spans="10:15" ht="16.2" x14ac:dyDescent="0.3">
      <c r="J152" s="133"/>
      <c r="K152" s="20"/>
      <c r="L152" s="37" t="s">
        <v>7</v>
      </c>
      <c r="M152" s="16" t="s">
        <v>81</v>
      </c>
      <c r="N152" s="68">
        <f>N146*N149/100*IF(OR(N145="NPK granulados",N145="NPK solubles"),0.83,1)</f>
        <v>0</v>
      </c>
      <c r="O152" s="134"/>
    </row>
    <row r="153" spans="10:15" ht="16.2" x14ac:dyDescent="0.3">
      <c r="J153" s="133"/>
      <c r="K153" s="20"/>
      <c r="L153" s="64" t="s">
        <v>43</v>
      </c>
      <c r="M153" s="65" t="s">
        <v>21</v>
      </c>
      <c r="N153" s="66">
        <f>SUM(N110,N118,N126,N134,N142,N150)</f>
        <v>0</v>
      </c>
      <c r="O153" s="134"/>
    </row>
    <row r="154" spans="10:15" ht="16.2" x14ac:dyDescent="0.3">
      <c r="J154" s="133"/>
      <c r="K154" s="20"/>
      <c r="L154" s="64" t="s">
        <v>43</v>
      </c>
      <c r="M154" s="65" t="s">
        <v>82</v>
      </c>
      <c r="N154" s="66">
        <f>SUM(N111,N119,N127,N135,N143,N151)</f>
        <v>0</v>
      </c>
      <c r="O154" s="134"/>
    </row>
    <row r="155" spans="10:15" ht="16.2" x14ac:dyDescent="0.3">
      <c r="J155" s="133"/>
      <c r="K155" s="33"/>
      <c r="L155" s="25" t="s">
        <v>43</v>
      </c>
      <c r="M155" s="26" t="s">
        <v>83</v>
      </c>
      <c r="N155" s="27">
        <f>SUM(N112,N120,N128,N136,N144,N152)</f>
        <v>0</v>
      </c>
      <c r="O155" s="134"/>
    </row>
    <row r="156" spans="10:15" ht="15" thickBot="1" x14ac:dyDescent="0.35">
      <c r="J156" s="135"/>
      <c r="K156" s="137"/>
      <c r="L156" s="137"/>
      <c r="M156" s="137"/>
      <c r="N156" s="137"/>
      <c r="O156" s="138"/>
    </row>
    <row r="157" spans="10:15" ht="15" thickTop="1" x14ac:dyDescent="0.3"/>
  </sheetData>
  <mergeCells count="8">
    <mergeCell ref="Y50:AC50"/>
    <mergeCell ref="Y51:AC51"/>
    <mergeCell ref="Y52:AC52"/>
    <mergeCell ref="Y49:AC49"/>
    <mergeCell ref="C8:F8"/>
    <mergeCell ref="K8:N8"/>
    <mergeCell ref="R8:U8"/>
    <mergeCell ref="Y8:AB8"/>
  </mergeCells>
  <phoneticPr fontId="24" type="noConversion"/>
  <conditionalFormatting sqref="C2">
    <cfRule type="duplicateValues" dxfId="9" priority="1"/>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6D54-9A1A-41C7-9739-EBDED9B17819}">
  <dimension ref="B1:M57"/>
  <sheetViews>
    <sheetView topLeftCell="A25" workbookViewId="0">
      <selection activeCell="C30" sqref="C30"/>
    </sheetView>
  </sheetViews>
  <sheetFormatPr baseColWidth="10" defaultRowHeight="14.4" x14ac:dyDescent="0.3"/>
  <cols>
    <col min="1" max="1" width="4.5546875" customWidth="1"/>
    <col min="2" max="2" width="32.88671875" bestFit="1" customWidth="1"/>
    <col min="3" max="3" width="20.6640625" customWidth="1"/>
    <col min="4" max="4" width="24.33203125" customWidth="1"/>
    <col min="5" max="5" width="28.21875" customWidth="1"/>
    <col min="6" max="6" width="25" customWidth="1"/>
    <col min="7" max="7" width="54.33203125" bestFit="1" customWidth="1"/>
    <col min="8" max="8" width="40.109375" customWidth="1"/>
    <col min="9" max="11" width="5" bestFit="1" customWidth="1"/>
    <col min="13" max="13" width="27.21875" customWidth="1"/>
  </cols>
  <sheetData>
    <row r="1" spans="2:13" ht="15" thickBot="1" x14ac:dyDescent="0.35"/>
    <row r="2" spans="2:13" x14ac:dyDescent="0.3">
      <c r="B2" s="173" t="s">
        <v>204</v>
      </c>
      <c r="C2" s="172" t="s">
        <v>206</v>
      </c>
      <c r="D2" s="175" t="s">
        <v>211</v>
      </c>
      <c r="E2" s="179" t="s">
        <v>207</v>
      </c>
      <c r="F2" s="174" t="s">
        <v>208</v>
      </c>
      <c r="H2" s="74"/>
    </row>
    <row r="3" spans="2:13" ht="16.2" customHeight="1" x14ac:dyDescent="0.3">
      <c r="B3" s="271" t="s">
        <v>266</v>
      </c>
      <c r="C3" s="87" t="s">
        <v>266</v>
      </c>
      <c r="D3" s="176"/>
      <c r="E3" s="87" t="s">
        <v>266</v>
      </c>
      <c r="F3" s="87"/>
      <c r="H3" s="74"/>
    </row>
    <row r="4" spans="2:13" x14ac:dyDescent="0.3">
      <c r="B4" s="271" t="s">
        <v>267</v>
      </c>
      <c r="C4" s="87" t="s">
        <v>275</v>
      </c>
      <c r="D4" s="176"/>
      <c r="E4" s="87" t="s">
        <v>279</v>
      </c>
      <c r="F4" s="87">
        <v>151</v>
      </c>
    </row>
    <row r="5" spans="2:13" x14ac:dyDescent="0.3">
      <c r="B5" s="271" t="s">
        <v>203</v>
      </c>
      <c r="C5" s="87" t="s">
        <v>276</v>
      </c>
      <c r="D5" s="176">
        <v>1.5</v>
      </c>
      <c r="E5" s="169" t="s">
        <v>280</v>
      </c>
      <c r="F5" s="170">
        <v>270.60000000000002</v>
      </c>
    </row>
    <row r="6" spans="2:13" x14ac:dyDescent="0.3">
      <c r="B6" s="271"/>
      <c r="C6" s="87" t="s">
        <v>277</v>
      </c>
      <c r="D6" s="176">
        <v>2.5</v>
      </c>
      <c r="E6" s="169" t="s">
        <v>281</v>
      </c>
      <c r="F6" s="170">
        <v>375.5</v>
      </c>
    </row>
    <row r="7" spans="2:13" ht="15" thickBot="1" x14ac:dyDescent="0.35">
      <c r="B7" s="272"/>
      <c r="C7" s="87" t="s">
        <v>278</v>
      </c>
      <c r="D7" s="177">
        <v>3.5</v>
      </c>
      <c r="E7" s="178"/>
      <c r="F7" s="171" t="s">
        <v>209</v>
      </c>
    </row>
    <row r="8" spans="2:13" ht="15.6" customHeight="1" x14ac:dyDescent="0.3"/>
    <row r="9" spans="2:13" ht="19.2" customHeight="1" x14ac:dyDescent="0.3">
      <c r="M9" s="71"/>
    </row>
    <row r="10" spans="2:13" x14ac:dyDescent="0.3">
      <c r="C10" t="s">
        <v>252</v>
      </c>
      <c r="D10" t="s">
        <v>252</v>
      </c>
      <c r="E10" t="s">
        <v>252</v>
      </c>
      <c r="M10" s="72"/>
    </row>
    <row r="11" spans="2:13" x14ac:dyDescent="0.3">
      <c r="B11" s="105" t="s">
        <v>101</v>
      </c>
      <c r="C11" s="106" t="s">
        <v>98</v>
      </c>
      <c r="D11" s="106" t="s">
        <v>165</v>
      </c>
      <c r="E11" s="107" t="s">
        <v>99</v>
      </c>
      <c r="F11" s="107" t="s">
        <v>100</v>
      </c>
      <c r="I11" s="319" t="s">
        <v>1</v>
      </c>
      <c r="J11" s="319"/>
      <c r="K11" s="319"/>
      <c r="M11" s="71"/>
    </row>
    <row r="12" spans="2:13" x14ac:dyDescent="0.3">
      <c r="B12" t="s">
        <v>266</v>
      </c>
      <c r="C12" s="108">
        <v>0</v>
      </c>
      <c r="D12" s="108">
        <v>0</v>
      </c>
      <c r="E12" s="109">
        <v>0</v>
      </c>
      <c r="F12" s="110">
        <v>0</v>
      </c>
      <c r="H12" s="69" t="s">
        <v>97</v>
      </c>
      <c r="I12" s="184" t="s">
        <v>98</v>
      </c>
      <c r="J12" s="184" t="s">
        <v>212</v>
      </c>
      <c r="K12" s="184" t="s">
        <v>99</v>
      </c>
      <c r="M12" s="72"/>
    </row>
    <row r="13" spans="2:13" x14ac:dyDescent="0.3">
      <c r="B13" t="s">
        <v>268</v>
      </c>
      <c r="C13" s="198">
        <v>3.1E-2</v>
      </c>
      <c r="D13" s="199">
        <v>4.1999999999999997E-3</v>
      </c>
      <c r="E13" s="112">
        <v>3.6499999999999998E-2</v>
      </c>
      <c r="F13" s="113">
        <v>0.55000000000000004</v>
      </c>
      <c r="G13">
        <v>55</v>
      </c>
      <c r="H13" s="87" t="s">
        <v>266</v>
      </c>
      <c r="I13" s="87"/>
      <c r="J13" s="87"/>
      <c r="K13" s="87"/>
      <c r="M13" s="71"/>
    </row>
    <row r="14" spans="2:13" ht="18" customHeight="1" x14ac:dyDescent="0.3">
      <c r="B14" t="s">
        <v>269</v>
      </c>
      <c r="C14" s="111">
        <v>2.4299999999999999E-2</v>
      </c>
      <c r="D14" s="111">
        <v>4.3E-3</v>
      </c>
      <c r="E14" s="112">
        <v>1.84E-2</v>
      </c>
      <c r="F14" s="113">
        <v>0.35</v>
      </c>
      <c r="H14" s="87" t="s">
        <v>298</v>
      </c>
      <c r="I14" s="87"/>
      <c r="J14" s="87"/>
      <c r="K14" s="87"/>
    </row>
    <row r="15" spans="2:13" ht="16.8" customHeight="1" x14ac:dyDescent="0.3">
      <c r="B15" t="s">
        <v>270</v>
      </c>
      <c r="C15" s="111">
        <v>1.34E-2</v>
      </c>
      <c r="D15" s="111">
        <v>2.5000000000000001E-3</v>
      </c>
      <c r="E15" s="112">
        <v>2.545E-2</v>
      </c>
      <c r="F15" s="113">
        <v>0.35</v>
      </c>
      <c r="H15" s="87" t="s">
        <v>299</v>
      </c>
      <c r="I15" s="87"/>
      <c r="J15" s="87"/>
      <c r="K15" s="87"/>
      <c r="M15" s="73"/>
    </row>
    <row r="16" spans="2:13" x14ac:dyDescent="0.3">
      <c r="B16" t="s">
        <v>271</v>
      </c>
      <c r="C16" s="111">
        <v>5.3999999999999999E-2</v>
      </c>
      <c r="D16" s="111">
        <v>1.49E-2</v>
      </c>
      <c r="E16" s="112">
        <v>2.7400000000000001E-2</v>
      </c>
      <c r="F16" s="113">
        <v>0.4</v>
      </c>
      <c r="H16" s="87" t="s">
        <v>300</v>
      </c>
      <c r="I16" s="87">
        <v>21</v>
      </c>
      <c r="J16" s="87"/>
      <c r="K16" s="87"/>
    </row>
    <row r="17" spans="2:11" x14ac:dyDescent="0.3">
      <c r="B17" t="s">
        <v>272</v>
      </c>
      <c r="C17" s="111">
        <v>0.01</v>
      </c>
      <c r="D17" s="111">
        <v>2.5000000000000001E-3</v>
      </c>
      <c r="E17" s="112">
        <v>8.9999999999999993E-3</v>
      </c>
      <c r="F17" s="113">
        <v>0.45</v>
      </c>
      <c r="H17" s="273" t="s">
        <v>96</v>
      </c>
      <c r="I17" s="87">
        <v>46</v>
      </c>
      <c r="J17" s="87"/>
      <c r="K17" s="87"/>
    </row>
    <row r="18" spans="2:11" x14ac:dyDescent="0.3">
      <c r="B18" t="s">
        <v>369</v>
      </c>
      <c r="C18" s="111">
        <v>0.02</v>
      </c>
      <c r="D18" s="111">
        <v>2.2000000000000001E-3</v>
      </c>
      <c r="E18" s="112">
        <v>1.7999999999999999E-2</v>
      </c>
      <c r="F18" s="113">
        <v>0.2</v>
      </c>
      <c r="H18" s="87" t="s">
        <v>301</v>
      </c>
      <c r="I18" s="87"/>
      <c r="J18" s="87"/>
      <c r="K18" s="87">
        <v>41.5</v>
      </c>
    </row>
    <row r="19" spans="2:11" x14ac:dyDescent="0.3">
      <c r="B19" s="268" t="s">
        <v>39</v>
      </c>
      <c r="C19" s="111">
        <v>2.5999999999999999E-3</v>
      </c>
      <c r="D19" s="111">
        <v>7.1000000000000002E-4</v>
      </c>
      <c r="E19" s="112">
        <v>6.7000000000000002E-3</v>
      </c>
      <c r="F19" s="113">
        <v>0.09</v>
      </c>
      <c r="H19" s="87" t="s">
        <v>302</v>
      </c>
      <c r="I19" s="87">
        <v>15.5</v>
      </c>
      <c r="J19" s="87"/>
      <c r="K19" s="87"/>
    </row>
    <row r="20" spans="2:11" x14ac:dyDescent="0.3">
      <c r="B20" s="268" t="s">
        <v>40</v>
      </c>
      <c r="C20" s="111">
        <v>0.05</v>
      </c>
      <c r="D20" s="111">
        <v>0.03</v>
      </c>
      <c r="E20" s="112">
        <v>0.1</v>
      </c>
      <c r="F20" s="113">
        <v>0.1</v>
      </c>
      <c r="H20" s="87" t="s">
        <v>302</v>
      </c>
      <c r="I20" s="87">
        <v>11</v>
      </c>
      <c r="J20" s="87">
        <v>22.7</v>
      </c>
      <c r="K20" s="87"/>
    </row>
    <row r="21" spans="2:11" x14ac:dyDescent="0.3">
      <c r="B21" s="269" t="s">
        <v>273</v>
      </c>
      <c r="C21" s="114">
        <v>0.03</v>
      </c>
      <c r="D21" s="114">
        <v>0.02</v>
      </c>
      <c r="E21" s="115">
        <v>0.02</v>
      </c>
      <c r="F21" s="116">
        <v>0.1</v>
      </c>
      <c r="H21" s="87" t="s">
        <v>302</v>
      </c>
      <c r="I21" s="87">
        <v>13</v>
      </c>
      <c r="J21" s="87"/>
      <c r="K21" s="87">
        <v>38.200000000000003</v>
      </c>
    </row>
    <row r="22" spans="2:11" x14ac:dyDescent="0.3">
      <c r="B22" s="270" t="s">
        <v>274</v>
      </c>
      <c r="C22" s="114">
        <v>1.2999999999999999E-2</v>
      </c>
      <c r="D22" s="114">
        <v>8.7000000000000001E-4</v>
      </c>
      <c r="E22" s="115">
        <v>5.4999999999999997E-3</v>
      </c>
      <c r="F22" s="117">
        <v>0.45</v>
      </c>
      <c r="H22" s="87" t="s">
        <v>303</v>
      </c>
      <c r="I22" s="87">
        <v>18</v>
      </c>
      <c r="J22" s="87">
        <v>20.100000000000001</v>
      </c>
      <c r="K22" s="87"/>
    </row>
    <row r="23" spans="2:11" x14ac:dyDescent="0.3">
      <c r="H23" s="87" t="s">
        <v>304</v>
      </c>
      <c r="I23" s="87"/>
      <c r="J23" s="87"/>
      <c r="K23" s="87">
        <v>49.8</v>
      </c>
    </row>
    <row r="24" spans="2:11" x14ac:dyDescent="0.3">
      <c r="H24" s="87" t="s">
        <v>305</v>
      </c>
      <c r="I24" s="87"/>
      <c r="J24" s="87">
        <v>8.5</v>
      </c>
      <c r="K24" s="87"/>
    </row>
    <row r="25" spans="2:11" x14ac:dyDescent="0.3">
      <c r="H25" s="87" t="s">
        <v>306</v>
      </c>
      <c r="I25" s="87"/>
      <c r="J25" s="87">
        <v>20</v>
      </c>
      <c r="K25" s="87"/>
    </row>
    <row r="26" spans="2:11" ht="28.8" x14ac:dyDescent="0.3">
      <c r="B26" s="101" t="s">
        <v>153</v>
      </c>
      <c r="C26" s="102" t="s">
        <v>154</v>
      </c>
      <c r="E26" s="88" t="s">
        <v>127</v>
      </c>
      <c r="F26" s="70" t="s">
        <v>131</v>
      </c>
      <c r="H26" s="87" t="s">
        <v>307</v>
      </c>
      <c r="I26" s="87">
        <v>34</v>
      </c>
      <c r="J26" s="87"/>
      <c r="K26" s="87"/>
    </row>
    <row r="27" spans="2:11" x14ac:dyDescent="0.3">
      <c r="B27" t="s">
        <v>266</v>
      </c>
      <c r="C27" s="87"/>
      <c r="E27" t="s">
        <v>266</v>
      </c>
      <c r="F27" s="87"/>
      <c r="H27" s="87" t="s">
        <v>308</v>
      </c>
      <c r="I27" s="87">
        <v>23</v>
      </c>
      <c r="J27" s="87"/>
      <c r="K27" s="87"/>
    </row>
    <row r="28" spans="2:11" x14ac:dyDescent="0.3">
      <c r="B28" s="103" t="s">
        <v>155</v>
      </c>
      <c r="C28" s="104">
        <v>3</v>
      </c>
      <c r="E28" s="89" t="s">
        <v>130</v>
      </c>
      <c r="F28" s="91">
        <v>1.4999999999999999E-2</v>
      </c>
      <c r="H28" s="87" t="s">
        <v>309</v>
      </c>
      <c r="I28" s="87">
        <v>11</v>
      </c>
      <c r="J28" s="87"/>
      <c r="K28" s="87"/>
    </row>
    <row r="29" spans="2:11" x14ac:dyDescent="0.3">
      <c r="B29" s="103" t="s">
        <v>156</v>
      </c>
      <c r="C29" s="104">
        <v>12</v>
      </c>
      <c r="E29" s="89" t="s">
        <v>129</v>
      </c>
      <c r="F29" s="91">
        <v>2.1000000000000001E-2</v>
      </c>
      <c r="H29" s="87" t="s">
        <v>310</v>
      </c>
      <c r="I29" s="87"/>
      <c r="J29" s="87">
        <v>25</v>
      </c>
      <c r="K29" s="87"/>
    </row>
    <row r="30" spans="2:11" x14ac:dyDescent="0.3">
      <c r="B30" s="103" t="s">
        <v>157</v>
      </c>
      <c r="C30" s="104">
        <v>30</v>
      </c>
      <c r="E30" s="187" t="s">
        <v>219</v>
      </c>
      <c r="F30" s="188">
        <v>2.7E-2</v>
      </c>
    </row>
    <row r="31" spans="2:11" x14ac:dyDescent="0.3">
      <c r="B31" s="103" t="s">
        <v>158</v>
      </c>
      <c r="C31" s="104">
        <v>50</v>
      </c>
      <c r="E31" s="189"/>
      <c r="F31" s="190"/>
    </row>
    <row r="32" spans="2:11" x14ac:dyDescent="0.3">
      <c r="B32" s="87"/>
      <c r="C32" s="87"/>
    </row>
    <row r="33" spans="2:6" ht="16.2" x14ac:dyDescent="0.3">
      <c r="B33" s="101" t="s">
        <v>159</v>
      </c>
      <c r="C33" s="102" t="s">
        <v>160</v>
      </c>
      <c r="E33" s="183" t="s">
        <v>46</v>
      </c>
      <c r="F33" s="70" t="s">
        <v>223</v>
      </c>
    </row>
    <row r="34" spans="2:6" x14ac:dyDescent="0.3">
      <c r="B34" s="87" t="s">
        <v>266</v>
      </c>
      <c r="C34" s="87"/>
      <c r="E34" s="90" t="s">
        <v>288</v>
      </c>
      <c r="F34" s="104">
        <v>14.15</v>
      </c>
    </row>
    <row r="35" spans="2:6" x14ac:dyDescent="0.3">
      <c r="B35" s="87" t="s">
        <v>282</v>
      </c>
      <c r="C35" s="104" t="s">
        <v>161</v>
      </c>
      <c r="E35" s="90" t="s">
        <v>289</v>
      </c>
      <c r="F35" s="104">
        <v>9.1999999999999993</v>
      </c>
    </row>
    <row r="36" spans="2:6" x14ac:dyDescent="0.3">
      <c r="B36" s="87" t="s">
        <v>283</v>
      </c>
      <c r="C36" s="104" t="s">
        <v>162</v>
      </c>
      <c r="E36" s="74"/>
      <c r="F36" s="182"/>
    </row>
    <row r="37" spans="2:6" x14ac:dyDescent="0.3">
      <c r="B37" s="87" t="s">
        <v>284</v>
      </c>
      <c r="C37" s="104" t="s">
        <v>163</v>
      </c>
      <c r="E37" s="70" t="s">
        <v>213</v>
      </c>
      <c r="F37" s="74"/>
    </row>
    <row r="38" spans="2:6" x14ac:dyDescent="0.3">
      <c r="B38" s="103" t="s">
        <v>285</v>
      </c>
      <c r="C38" s="104" t="s">
        <v>164</v>
      </c>
      <c r="E38" s="87" t="s">
        <v>266</v>
      </c>
    </row>
    <row r="39" spans="2:6" x14ac:dyDescent="0.3">
      <c r="E39" s="87" t="s">
        <v>286</v>
      </c>
    </row>
    <row r="40" spans="2:6" ht="19.2" customHeight="1" x14ac:dyDescent="0.3">
      <c r="E40" s="87" t="s">
        <v>287</v>
      </c>
    </row>
    <row r="41" spans="2:6" x14ac:dyDescent="0.3">
      <c r="B41" s="320" t="s">
        <v>47</v>
      </c>
      <c r="C41" s="320"/>
    </row>
    <row r="42" spans="2:6" x14ac:dyDescent="0.3">
      <c r="B42" s="185" t="s">
        <v>217</v>
      </c>
      <c r="C42" s="70" t="s">
        <v>218</v>
      </c>
    </row>
    <row r="43" spans="2:6" x14ac:dyDescent="0.3">
      <c r="B43" t="s">
        <v>266</v>
      </c>
      <c r="C43" s="87"/>
    </row>
    <row r="44" spans="2:6" x14ac:dyDescent="0.3">
      <c r="B44" t="s">
        <v>290</v>
      </c>
      <c r="C44" s="87">
        <v>50</v>
      </c>
    </row>
    <row r="45" spans="2:6" x14ac:dyDescent="0.3">
      <c r="B45" s="87" t="s">
        <v>291</v>
      </c>
      <c r="C45" s="87">
        <v>25</v>
      </c>
    </row>
    <row r="47" spans="2:6" x14ac:dyDescent="0.3">
      <c r="E47" s="35"/>
      <c r="F47" s="35"/>
    </row>
    <row r="48" spans="2:6" x14ac:dyDescent="0.3">
      <c r="E48" s="194"/>
      <c r="F48" s="194"/>
    </row>
    <row r="49" spans="2:6" x14ac:dyDescent="0.3">
      <c r="E49" s="195"/>
      <c r="F49" s="195"/>
    </row>
    <row r="50" spans="2:6" x14ac:dyDescent="0.3">
      <c r="B50" s="197" t="s">
        <v>247</v>
      </c>
      <c r="E50" s="195"/>
      <c r="F50" s="195"/>
    </row>
    <row r="51" spans="2:6" x14ac:dyDescent="0.3">
      <c r="B51" s="70" t="s">
        <v>226</v>
      </c>
      <c r="C51" s="70" t="s">
        <v>227</v>
      </c>
      <c r="D51" s="70" t="s">
        <v>228</v>
      </c>
      <c r="E51" s="70" t="s">
        <v>229</v>
      </c>
      <c r="F51" s="70" t="s">
        <v>230</v>
      </c>
    </row>
    <row r="52" spans="2:6" x14ac:dyDescent="0.3">
      <c r="B52" s="87" t="s">
        <v>292</v>
      </c>
      <c r="C52" s="87" t="s">
        <v>231</v>
      </c>
      <c r="D52" s="87">
        <v>0.75</v>
      </c>
      <c r="E52" s="87" t="s">
        <v>232</v>
      </c>
      <c r="F52" s="87" t="s">
        <v>233</v>
      </c>
    </row>
    <row r="53" spans="2:6" x14ac:dyDescent="0.3">
      <c r="B53" s="87" t="s">
        <v>293</v>
      </c>
      <c r="C53" s="87" t="s">
        <v>234</v>
      </c>
      <c r="D53" s="87">
        <v>1.5</v>
      </c>
      <c r="E53" s="87" t="s">
        <v>235</v>
      </c>
      <c r="F53" s="87" t="s">
        <v>236</v>
      </c>
    </row>
    <row r="54" spans="2:6" x14ac:dyDescent="0.3">
      <c r="B54" s="87" t="s">
        <v>294</v>
      </c>
      <c r="C54" s="87" t="s">
        <v>237</v>
      </c>
      <c r="D54" s="87">
        <v>2.25</v>
      </c>
      <c r="E54" s="87" t="s">
        <v>238</v>
      </c>
      <c r="F54" s="87" t="s">
        <v>239</v>
      </c>
    </row>
    <row r="55" spans="2:6" x14ac:dyDescent="0.3">
      <c r="B55" s="87" t="s">
        <v>295</v>
      </c>
      <c r="C55" s="87" t="s">
        <v>240</v>
      </c>
      <c r="D55" s="87">
        <v>3</v>
      </c>
      <c r="E55" s="87" t="s">
        <v>251</v>
      </c>
      <c r="F55" s="87" t="s">
        <v>241</v>
      </c>
    </row>
    <row r="56" spans="2:6" x14ac:dyDescent="0.3">
      <c r="B56" s="87" t="s">
        <v>296</v>
      </c>
      <c r="C56" s="87" t="s">
        <v>242</v>
      </c>
      <c r="D56" s="87">
        <v>3.5</v>
      </c>
      <c r="E56" s="87" t="s">
        <v>250</v>
      </c>
      <c r="F56" s="87" t="s">
        <v>243</v>
      </c>
    </row>
    <row r="57" spans="2:6" x14ac:dyDescent="0.3">
      <c r="B57" s="87" t="s">
        <v>297</v>
      </c>
      <c r="C57" s="87" t="s">
        <v>244</v>
      </c>
      <c r="D57" s="196" t="s">
        <v>245</v>
      </c>
      <c r="E57" s="87" t="s">
        <v>249</v>
      </c>
      <c r="F57" s="87" t="s">
        <v>246</v>
      </c>
    </row>
  </sheetData>
  <mergeCells count="2">
    <mergeCell ref="I11:K11"/>
    <mergeCell ref="B41:C41"/>
  </mergeCells>
  <dataValidations disablePrompts="1" count="1">
    <dataValidation type="list" allowBlank="1" showInputMessage="1" showErrorMessage="1" sqref="N14" xr:uid="{85E8046D-9EF2-4B4C-9EAE-3B5AD216B383}">
      <formula1>$E$27:$E$28</formula1>
    </dataValidation>
  </dataValidation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Balance de Nutrientes</vt:lpstr>
      <vt:lpstr>Balance de Nutrientes oculto</vt:lpstr>
      <vt:lpstr>FERTILIZANTES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dc:creator>
  <cp:lastModifiedBy>UJA</cp:lastModifiedBy>
  <dcterms:created xsi:type="dcterms:W3CDTF">2020-11-20T17:42:04Z</dcterms:created>
  <dcterms:modified xsi:type="dcterms:W3CDTF">2025-12-18T12:23:26Z</dcterms:modified>
</cp:coreProperties>
</file>